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defaultThemeVersion="202300"/>
  <mc:AlternateContent xmlns:mc="http://schemas.openxmlformats.org/markup-compatibility/2006">
    <mc:Choice Requires="x15">
      <x15ac:absPath xmlns:x15ac="http://schemas.microsoft.com/office/spreadsheetml/2010/11/ac" url="https://d.docs.live.net/d91b46440e8fdf12/Desktop/"/>
    </mc:Choice>
  </mc:AlternateContent>
  <xr:revisionPtr revIDLastSave="993" documentId="8_{DC7386E2-165C-4399-80F0-6C4F1A799A05}" xr6:coauthVersionLast="47" xr6:coauthVersionMax="47" xr10:uidLastSave="{D0AA6806-0FE6-49F2-B215-38E379865943}"/>
  <bookViews>
    <workbookView xWindow="-108" yWindow="-108" windowWidth="23256" windowHeight="13896" tabRatio="815" activeTab="7" xr2:uid="{C8631FB3-7152-4A21-B0BC-A840C1918AA4}"/>
  </bookViews>
  <sheets>
    <sheet name="START HERE" sheetId="4" r:id="rId1"/>
    <sheet name="Organization" sheetId="8" r:id="rId2"/>
    <sheet name="Product" sheetId="9" r:id="rId3"/>
    <sheet name="Infrastructure" sheetId="10" r:id="rId4"/>
    <sheet name="IT Accessibility" sheetId="11" r:id="rId5"/>
    <sheet name="Case-Specific" sheetId="12" state="hidden" r:id="rId6"/>
    <sheet name="AI" sheetId="13" r:id="rId7"/>
    <sheet name="Privacy" sheetId="14" r:id="rId8"/>
    <sheet name="Institution Evaluation" sheetId="22" r:id="rId9"/>
    <sheet name="High-Risk Evaluation" sheetId="21" r:id="rId10"/>
    <sheet name="Privacy Analyst Evaluation" sheetId="25" r:id="rId11"/>
    <sheet name="Analyst Reference" sheetId="16" r:id="rId12"/>
    <sheet name="Questions" sheetId="2" state="hidden" r:id="rId13"/>
    <sheet name="Auto Responses" sheetId="3" state="hidden" r:id="rId14"/>
    <sheet name="(backend scoring)" sheetId="20" state="hidden" r:id="rId15"/>
  </sheets>
  <definedNames>
    <definedName name="_xlnm._FilterDatabase" localSheetId="14" hidden="1">'(backend scoring)'!$A$2:$V$333</definedName>
    <definedName name="_xlnm._FilterDatabase" localSheetId="8" hidden="1">'Institution Evaluation'!$H$2:$I$2</definedName>
    <definedName name="_xlnm._FilterDatabase" localSheetId="10" hidden="1">'Privacy Analyst Evaluation'!$H$2:$I$2</definedName>
    <definedName name="_xlnm._FilterDatabase" localSheetId="12" hidden="1">Questions!$A$2:$X$334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8" l="1"/>
  <c r="B51" i="8"/>
  <c r="B50" i="8"/>
  <c r="B44" i="8"/>
  <c r="B36" i="9"/>
  <c r="B31" i="9"/>
  <c r="B27" i="9"/>
  <c r="B67" i="10"/>
  <c r="B58" i="10"/>
  <c r="B38" i="10"/>
  <c r="B29" i="10"/>
  <c r="B28" i="10"/>
  <c r="B47" i="13"/>
  <c r="B84" i="14"/>
  <c r="E63" i="14"/>
  <c r="E47" i="8"/>
  <c r="E23" i="4"/>
  <c r="E24" i="4"/>
  <c r="E30" i="8"/>
  <c r="G22" i="25"/>
  <c r="G23" i="25"/>
  <c r="G24" i="25"/>
  <c r="G25" i="25"/>
  <c r="G26" i="25"/>
  <c r="G27" i="25"/>
  <c r="G28" i="25"/>
  <c r="G29" i="25"/>
  <c r="G30" i="25"/>
  <c r="G21" i="25"/>
  <c r="E87" i="14"/>
  <c r="E86" i="14"/>
  <c r="E85" i="14"/>
  <c r="E84" i="14"/>
  <c r="E83" i="14"/>
  <c r="E82" i="14"/>
  <c r="E81" i="14"/>
  <c r="E80" i="14"/>
  <c r="E79" i="14"/>
  <c r="E78" i="14"/>
  <c r="E77" i="14"/>
  <c r="E76" i="14"/>
  <c r="E72" i="14"/>
  <c r="E61" i="14"/>
  <c r="E40" i="14"/>
  <c r="E39" i="14"/>
  <c r="E35" i="14"/>
  <c r="E67" i="8"/>
  <c r="E46" i="8"/>
  <c r="E45" i="8"/>
  <c r="E44" i="8"/>
  <c r="E38" i="8"/>
  <c r="E37" i="8"/>
  <c r="E33" i="8"/>
  <c r="E32" i="8"/>
  <c r="E31" i="8"/>
  <c r="E88" i="14"/>
  <c r="E75" i="14"/>
  <c r="E74" i="14"/>
  <c r="E71" i="14"/>
  <c r="E70" i="14"/>
  <c r="E69" i="14"/>
  <c r="E68" i="14"/>
  <c r="E66" i="14"/>
  <c r="E65" i="14"/>
  <c r="E64" i="14"/>
  <c r="E62" i="14"/>
  <c r="E60" i="14"/>
  <c r="E59" i="14"/>
  <c r="E58" i="14"/>
  <c r="E57" i="14"/>
  <c r="E56" i="14"/>
  <c r="E55" i="14"/>
  <c r="E54" i="14"/>
  <c r="E52" i="14"/>
  <c r="E51" i="14"/>
  <c r="E50" i="14"/>
  <c r="E49" i="14"/>
  <c r="E48" i="14"/>
  <c r="E47" i="14"/>
  <c r="E46" i="14"/>
  <c r="E45" i="14"/>
  <c r="E43" i="14"/>
  <c r="E42" i="14"/>
  <c r="E37" i="14"/>
  <c r="E36" i="14"/>
  <c r="E33" i="14"/>
  <c r="E32" i="14"/>
  <c r="E31" i="14"/>
  <c r="E30" i="14"/>
  <c r="E28" i="14"/>
  <c r="E27" i="14"/>
  <c r="E26" i="14"/>
  <c r="E25" i="14"/>
  <c r="E24" i="14"/>
  <c r="E50" i="10"/>
  <c r="E49" i="10"/>
  <c r="E48" i="10"/>
  <c r="E47" i="10"/>
  <c r="E46" i="10"/>
  <c r="E45" i="10"/>
  <c r="E44" i="10"/>
  <c r="E43" i="10"/>
  <c r="E42" i="10"/>
  <c r="E41" i="10"/>
  <c r="E40" i="10"/>
  <c r="E39" i="10"/>
  <c r="E38" i="10"/>
  <c r="E37" i="10"/>
  <c r="E36" i="10"/>
  <c r="E66" i="8"/>
  <c r="E65" i="8"/>
  <c r="E64" i="8"/>
  <c r="E63" i="8"/>
  <c r="E62" i="8"/>
  <c r="E61" i="8"/>
  <c r="E60" i="8"/>
  <c r="E59" i="8"/>
  <c r="E58" i="8"/>
  <c r="E57" i="8"/>
  <c r="E56" i="8"/>
  <c r="E55" i="8"/>
  <c r="E54" i="8"/>
  <c r="E53" i="8"/>
  <c r="E51" i="8"/>
  <c r="E50" i="8"/>
  <c r="E49" i="8"/>
  <c r="E48" i="8"/>
  <c r="E43" i="8"/>
  <c r="E42" i="8"/>
  <c r="E41" i="8"/>
  <c r="E40" i="8"/>
  <c r="E39" i="8"/>
  <c r="E36" i="8"/>
  <c r="E34" i="8"/>
  <c r="E28" i="8"/>
  <c r="E27" i="8"/>
  <c r="E26" i="8"/>
  <c r="E25" i="8"/>
  <c r="E24" i="8"/>
  <c r="E23" i="8"/>
  <c r="E22" i="8"/>
  <c r="E36" i="4"/>
  <c r="E35" i="4"/>
  <c r="E34" i="4"/>
  <c r="E33" i="4"/>
  <c r="E32" i="4"/>
  <c r="E31" i="4"/>
  <c r="E30" i="4"/>
  <c r="E29" i="4"/>
  <c r="E27" i="4"/>
  <c r="E26" i="4"/>
  <c r="E25" i="4"/>
  <c r="K2" i="21" l="1"/>
  <c r="C13" i="8" l="1"/>
  <c r="C14" i="8"/>
  <c r="C15" i="8"/>
  <c r="C16" i="8"/>
  <c r="C17" i="8"/>
  <c r="C18" i="8"/>
  <c r="C19" i="8"/>
  <c r="C20" i="8"/>
  <c r="C17" i="16" l="1"/>
  <c r="X334" i="2"/>
  <c r="X333" i="2"/>
  <c r="X332" i="2"/>
  <c r="X331" i="2"/>
  <c r="X330" i="2"/>
  <c r="X329" i="2"/>
  <c r="X328" i="2"/>
  <c r="X327" i="2"/>
  <c r="X326" i="2"/>
  <c r="X325" i="2"/>
  <c r="X324" i="2"/>
  <c r="X323" i="2"/>
  <c r="X322" i="2"/>
  <c r="X321" i="2"/>
  <c r="X320" i="2"/>
  <c r="X319" i="2"/>
  <c r="X317" i="2"/>
  <c r="X316" i="2"/>
  <c r="X315" i="2"/>
  <c r="X314" i="2"/>
  <c r="X313" i="2"/>
  <c r="X312" i="2"/>
  <c r="X311" i="2"/>
  <c r="X310" i="2"/>
  <c r="X309" i="2"/>
  <c r="X307" i="2"/>
  <c r="X306" i="2"/>
  <c r="X305" i="2"/>
  <c r="X237" i="2"/>
  <c r="X234" i="2"/>
  <c r="X233" i="2"/>
  <c r="X232" i="2"/>
  <c r="X231" i="2"/>
  <c r="X230" i="2"/>
  <c r="X229" i="2"/>
  <c r="X228" i="2"/>
  <c r="X226" i="2"/>
  <c r="X223" i="2"/>
  <c r="X222" i="2"/>
  <c r="X221" i="2"/>
  <c r="X220" i="2"/>
  <c r="X219" i="2"/>
  <c r="X218" i="2"/>
  <c r="X217" i="2"/>
  <c r="X216" i="2"/>
  <c r="X215" i="2"/>
  <c r="X214" i="2"/>
  <c r="X213" i="2"/>
  <c r="X212" i="2"/>
  <c r="X211" i="2"/>
  <c r="X210" i="2"/>
  <c r="X209" i="2"/>
  <c r="X208" i="2"/>
  <c r="X207" i="2"/>
  <c r="X206" i="2"/>
  <c r="X205" i="2"/>
  <c r="X204" i="2"/>
  <c r="X203" i="2"/>
  <c r="X202" i="2"/>
  <c r="X201" i="2"/>
  <c r="X200" i="2"/>
  <c r="X199" i="2"/>
  <c r="X198" i="2"/>
  <c r="X197" i="2"/>
  <c r="X196" i="2"/>
  <c r="X195" i="2"/>
  <c r="X194" i="2"/>
  <c r="X193" i="2"/>
  <c r="X192" i="2"/>
  <c r="X191" i="2"/>
  <c r="X190" i="2"/>
  <c r="X189" i="2"/>
  <c r="X188" i="2"/>
  <c r="X187" i="2"/>
  <c r="X186" i="2"/>
  <c r="X185" i="2"/>
  <c r="X184" i="2"/>
  <c r="X183" i="2"/>
  <c r="X182" i="2"/>
  <c r="X181" i="2"/>
  <c r="X180" i="2"/>
  <c r="X179" i="2"/>
  <c r="X178" i="2"/>
  <c r="X177" i="2"/>
  <c r="X176" i="2"/>
  <c r="X175" i="2"/>
  <c r="X174" i="2"/>
  <c r="X173" i="2"/>
  <c r="X172" i="2"/>
  <c r="X171" i="2"/>
  <c r="X170" i="2"/>
  <c r="X169" i="2"/>
  <c r="X168" i="2"/>
  <c r="X167" i="2"/>
  <c r="X166" i="2"/>
  <c r="X165" i="2"/>
  <c r="X164" i="2"/>
  <c r="X163" i="2"/>
  <c r="X162" i="2"/>
  <c r="X161" i="2"/>
  <c r="X159" i="2"/>
  <c r="X158" i="2"/>
  <c r="X157" i="2"/>
  <c r="X156" i="2"/>
  <c r="X155" i="2"/>
  <c r="X154" i="2"/>
  <c r="X153" i="2"/>
  <c r="X152" i="2"/>
  <c r="X151" i="2"/>
  <c r="X150" i="2"/>
  <c r="X149" i="2"/>
  <c r="X148" i="2"/>
  <c r="X147" i="2"/>
  <c r="X146" i="2"/>
  <c r="X145" i="2"/>
  <c r="X144" i="2"/>
  <c r="X143" i="2"/>
  <c r="X142" i="2"/>
  <c r="X141" i="2"/>
  <c r="X140" i="2"/>
  <c r="X139" i="2"/>
  <c r="X138" i="2"/>
  <c r="X137" i="2"/>
  <c r="X136"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8" i="2"/>
  <c r="X86" i="2"/>
  <c r="X85" i="2"/>
  <c r="X84" i="2"/>
  <c r="X83" i="2"/>
  <c r="X82" i="2"/>
  <c r="X81" i="2"/>
  <c r="X80" i="2"/>
  <c r="X79" i="2"/>
  <c r="X78" i="2"/>
  <c r="X77" i="2"/>
  <c r="X76" i="2"/>
  <c r="X75" i="2"/>
  <c r="X74" i="2"/>
  <c r="X73" i="2"/>
  <c r="X72" i="2"/>
  <c r="X71" i="2"/>
  <c r="X70" i="2"/>
  <c r="X69" i="2"/>
  <c r="X68" i="2"/>
  <c r="X67" i="2"/>
  <c r="X66" i="2"/>
  <c r="X65" i="2"/>
  <c r="X64" i="2"/>
  <c r="X63" i="2"/>
  <c r="X62" i="2"/>
  <c r="X61" i="2"/>
  <c r="X60" i="2"/>
  <c r="X59" i="2"/>
  <c r="X58" i="2"/>
  <c r="X57" i="2"/>
  <c r="X56" i="2"/>
  <c r="X55" i="2"/>
  <c r="X54" i="2"/>
  <c r="X53" i="2"/>
  <c r="X52" i="2"/>
  <c r="X51" i="2"/>
  <c r="X50" i="2"/>
  <c r="X49" i="2"/>
  <c r="X48" i="2"/>
  <c r="X47" i="2"/>
  <c r="X46" i="2"/>
  <c r="X45" i="2"/>
  <c r="X44" i="2"/>
  <c r="X43" i="2"/>
  <c r="X42" i="2"/>
  <c r="X41" i="2"/>
  <c r="X40" i="2"/>
  <c r="X39" i="2"/>
  <c r="X38" i="2"/>
  <c r="X37" i="2"/>
  <c r="X31" i="2"/>
  <c r="X30" i="2"/>
  <c r="X29" i="2"/>
  <c r="X28" i="2"/>
  <c r="X27" i="2"/>
  <c r="X26" i="2"/>
  <c r="X25" i="2"/>
  <c r="X15" i="2"/>
  <c r="X14" i="2"/>
  <c r="X12" i="2"/>
  <c r="D385" i="16" l="1"/>
  <c r="C385" i="16"/>
  <c r="B385" i="16"/>
  <c r="D384" i="16"/>
  <c r="C384" i="16"/>
  <c r="B384" i="16"/>
  <c r="D383" i="16"/>
  <c r="C383" i="16"/>
  <c r="B383" i="16"/>
  <c r="D382" i="16"/>
  <c r="C382" i="16"/>
  <c r="B382" i="16"/>
  <c r="D381" i="16"/>
  <c r="C381" i="16"/>
  <c r="B381" i="16"/>
  <c r="D380" i="16"/>
  <c r="C380" i="16"/>
  <c r="B380" i="16"/>
  <c r="D379" i="16"/>
  <c r="C379" i="16"/>
  <c r="B379" i="16"/>
  <c r="D378" i="16"/>
  <c r="C378" i="16"/>
  <c r="B378" i="16"/>
  <c r="D377" i="16"/>
  <c r="C377" i="16"/>
  <c r="A377" i="16"/>
  <c r="D376" i="16"/>
  <c r="C376" i="16"/>
  <c r="B376" i="16"/>
  <c r="D375" i="16"/>
  <c r="C375" i="16"/>
  <c r="B375" i="16"/>
  <c r="D374" i="16"/>
  <c r="C374" i="16"/>
  <c r="B374" i="16"/>
  <c r="D373" i="16"/>
  <c r="C373" i="16"/>
  <c r="B373" i="16"/>
  <c r="D372" i="16"/>
  <c r="C372" i="16"/>
  <c r="B372" i="16"/>
  <c r="D371" i="16"/>
  <c r="C371" i="16"/>
  <c r="B371" i="16"/>
  <c r="D370" i="16"/>
  <c r="C370" i="16"/>
  <c r="B370" i="16"/>
  <c r="D369" i="16"/>
  <c r="C369" i="16"/>
  <c r="B369" i="16"/>
  <c r="D368" i="16"/>
  <c r="C368" i="16"/>
  <c r="B368" i="16"/>
  <c r="D367" i="16"/>
  <c r="C367" i="16"/>
  <c r="B367" i="16"/>
  <c r="D366" i="16"/>
  <c r="C366" i="16"/>
  <c r="B366" i="16"/>
  <c r="D365" i="16"/>
  <c r="C365" i="16"/>
  <c r="B365" i="16"/>
  <c r="D364" i="16"/>
  <c r="C364" i="16"/>
  <c r="B364" i="16"/>
  <c r="D363" i="16"/>
  <c r="C363" i="16"/>
  <c r="B363" i="16"/>
  <c r="D362" i="16"/>
  <c r="C362" i="16"/>
  <c r="B362" i="16"/>
  <c r="D361" i="16"/>
  <c r="C361" i="16"/>
  <c r="A361" i="16"/>
  <c r="D360" i="16"/>
  <c r="C360" i="16"/>
  <c r="B360" i="16"/>
  <c r="D359" i="16"/>
  <c r="C359" i="16"/>
  <c r="B359" i="16"/>
  <c r="D358" i="16"/>
  <c r="C358" i="16"/>
  <c r="B358" i="16"/>
  <c r="D357" i="16"/>
  <c r="C357" i="16"/>
  <c r="B357" i="16"/>
  <c r="D356" i="16"/>
  <c r="C356" i="16"/>
  <c r="B356" i="16"/>
  <c r="D355" i="16"/>
  <c r="C355" i="16"/>
  <c r="A355" i="16"/>
  <c r="D354" i="16"/>
  <c r="C354" i="16"/>
  <c r="B354" i="16"/>
  <c r="D353" i="16"/>
  <c r="C353" i="16"/>
  <c r="B353" i="16"/>
  <c r="D352" i="16"/>
  <c r="C352" i="16"/>
  <c r="B352" i="16"/>
  <c r="D351" i="16"/>
  <c r="C351" i="16"/>
  <c r="B351" i="16"/>
  <c r="D350" i="16"/>
  <c r="C350" i="16"/>
  <c r="B350" i="16"/>
  <c r="D349" i="16"/>
  <c r="C349" i="16"/>
  <c r="B349" i="16"/>
  <c r="D348" i="16"/>
  <c r="C348" i="16"/>
  <c r="B348" i="16"/>
  <c r="D347" i="16"/>
  <c r="C347" i="16"/>
  <c r="B347" i="16"/>
  <c r="D346" i="16"/>
  <c r="C346" i="16"/>
  <c r="B346" i="16"/>
  <c r="D345" i="16"/>
  <c r="C345" i="16"/>
  <c r="B345" i="16"/>
  <c r="D344" i="16"/>
  <c r="C344" i="16"/>
  <c r="B344" i="16"/>
  <c r="D343" i="16"/>
  <c r="C343" i="16"/>
  <c r="B343" i="16"/>
  <c r="D342" i="16"/>
  <c r="C342" i="16"/>
  <c r="B342" i="16"/>
  <c r="D341" i="16"/>
  <c r="C341" i="16"/>
  <c r="A341" i="16"/>
  <c r="D340" i="16"/>
  <c r="C340" i="16"/>
  <c r="B340" i="16"/>
  <c r="D339" i="16"/>
  <c r="C339" i="16"/>
  <c r="B339" i="16"/>
  <c r="D338" i="16"/>
  <c r="C338" i="16"/>
  <c r="B338" i="16"/>
  <c r="D337" i="16"/>
  <c r="C337" i="16"/>
  <c r="B337" i="16"/>
  <c r="D336" i="16"/>
  <c r="C336" i="16"/>
  <c r="B336" i="16"/>
  <c r="D335" i="16"/>
  <c r="C335" i="16"/>
  <c r="B335" i="16"/>
  <c r="D334" i="16"/>
  <c r="C334" i="16"/>
  <c r="B334" i="16"/>
  <c r="D333" i="16"/>
  <c r="C333" i="16"/>
  <c r="B333" i="16"/>
  <c r="D332" i="16"/>
  <c r="C332" i="16"/>
  <c r="A332" i="16"/>
  <c r="D331" i="16"/>
  <c r="C331" i="16"/>
  <c r="B331" i="16"/>
  <c r="D330" i="16"/>
  <c r="C330" i="16"/>
  <c r="B330" i="16"/>
  <c r="D329" i="16"/>
  <c r="C329" i="16"/>
  <c r="A329" i="16"/>
  <c r="D328" i="16"/>
  <c r="C328" i="16"/>
  <c r="B328" i="16"/>
  <c r="D327" i="16"/>
  <c r="C327" i="16"/>
  <c r="B327" i="16"/>
  <c r="D326" i="16"/>
  <c r="C326" i="16"/>
  <c r="A326" i="16"/>
  <c r="D325" i="16"/>
  <c r="C325" i="16"/>
  <c r="B325" i="16"/>
  <c r="D324" i="16"/>
  <c r="C324" i="16"/>
  <c r="B324" i="16"/>
  <c r="D323" i="16"/>
  <c r="C323" i="16"/>
  <c r="B323" i="16"/>
  <c r="D322" i="16"/>
  <c r="C322" i="16"/>
  <c r="A322" i="16"/>
  <c r="D321" i="16"/>
  <c r="C321" i="16"/>
  <c r="B321" i="16"/>
  <c r="D320" i="16"/>
  <c r="C320" i="16"/>
  <c r="B320" i="16"/>
  <c r="D319" i="16"/>
  <c r="C319" i="16"/>
  <c r="B319" i="16"/>
  <c r="D318" i="16"/>
  <c r="C318" i="16"/>
  <c r="B318" i="16"/>
  <c r="D317" i="16"/>
  <c r="C317" i="16"/>
  <c r="A317" i="16"/>
  <c r="D316" i="16"/>
  <c r="C316" i="16"/>
  <c r="B316" i="16"/>
  <c r="D315" i="16"/>
  <c r="C315" i="16"/>
  <c r="B315" i="16"/>
  <c r="D314" i="16"/>
  <c r="C314" i="16"/>
  <c r="B314" i="16"/>
  <c r="D313" i="16"/>
  <c r="C313" i="16"/>
  <c r="B313" i="16"/>
  <c r="D312" i="16"/>
  <c r="C312" i="16"/>
  <c r="B312" i="16"/>
  <c r="D311" i="16"/>
  <c r="C311" i="16"/>
  <c r="A311" i="16"/>
  <c r="D308" i="16"/>
  <c r="C308" i="16"/>
  <c r="B308" i="16"/>
  <c r="D307" i="16"/>
  <c r="C307" i="16"/>
  <c r="B307" i="16"/>
  <c r="D306" i="16"/>
  <c r="C306" i="16"/>
  <c r="B306" i="16"/>
  <c r="D305" i="16"/>
  <c r="C305" i="16"/>
  <c r="B305" i="16"/>
  <c r="D304" i="16"/>
  <c r="C304" i="16"/>
  <c r="B304" i="16"/>
  <c r="D303" i="16"/>
  <c r="C303" i="16"/>
  <c r="B303" i="16"/>
  <c r="D302" i="16"/>
  <c r="C302" i="16"/>
  <c r="A302" i="16"/>
  <c r="D301" i="16"/>
  <c r="C301" i="16"/>
  <c r="B301" i="16"/>
  <c r="D300" i="16"/>
  <c r="C300" i="16"/>
  <c r="B300" i="16"/>
  <c r="D299" i="16"/>
  <c r="C299" i="16"/>
  <c r="B299" i="16"/>
  <c r="D298" i="16"/>
  <c r="C298" i="16"/>
  <c r="B298" i="16"/>
  <c r="D297" i="16"/>
  <c r="C297" i="16"/>
  <c r="B297" i="16"/>
  <c r="D296" i="16"/>
  <c r="C296" i="16"/>
  <c r="B296" i="16"/>
  <c r="D295" i="16"/>
  <c r="C295" i="16"/>
  <c r="B295" i="16"/>
  <c r="D294" i="16"/>
  <c r="C294" i="16"/>
  <c r="B294" i="16"/>
  <c r="D293" i="16"/>
  <c r="C293" i="16"/>
  <c r="A293" i="16"/>
  <c r="D292" i="16"/>
  <c r="C292" i="16"/>
  <c r="B292" i="16"/>
  <c r="D291" i="16"/>
  <c r="C291" i="16"/>
  <c r="B291" i="16"/>
  <c r="D290" i="16"/>
  <c r="C290" i="16"/>
  <c r="B290" i="16"/>
  <c r="D289" i="16"/>
  <c r="C289" i="16"/>
  <c r="B289" i="16"/>
  <c r="D288" i="16"/>
  <c r="C288" i="16"/>
  <c r="B288" i="16"/>
  <c r="D287" i="16"/>
  <c r="C287" i="16"/>
  <c r="A287" i="16"/>
  <c r="D286" i="16"/>
  <c r="C286" i="16"/>
  <c r="B286" i="16"/>
  <c r="D285" i="16"/>
  <c r="C285" i="16"/>
  <c r="B285" i="16"/>
  <c r="D284" i="16"/>
  <c r="C284" i="16"/>
  <c r="B284" i="16"/>
  <c r="D283" i="16"/>
  <c r="C283" i="16"/>
  <c r="B283" i="16"/>
  <c r="D282" i="16"/>
  <c r="C282" i="16"/>
  <c r="B282" i="16"/>
  <c r="D281" i="16"/>
  <c r="C281" i="16"/>
  <c r="A281" i="16"/>
  <c r="D280" i="16"/>
  <c r="C280" i="16"/>
  <c r="B280" i="16"/>
  <c r="D279" i="16"/>
  <c r="C279" i="16"/>
  <c r="B279" i="16"/>
  <c r="D278" i="16"/>
  <c r="C278" i="16"/>
  <c r="B278" i="16"/>
  <c r="D277" i="16"/>
  <c r="C277" i="16"/>
  <c r="B277" i="16"/>
  <c r="D276" i="16"/>
  <c r="C276" i="16"/>
  <c r="B276" i="16"/>
  <c r="D275" i="16"/>
  <c r="C275" i="16"/>
  <c r="A275" i="16"/>
  <c r="D274" i="16"/>
  <c r="C274" i="16"/>
  <c r="B274" i="16"/>
  <c r="D273" i="16"/>
  <c r="C273" i="16"/>
  <c r="B273" i="16"/>
  <c r="D272" i="16"/>
  <c r="C272" i="16"/>
  <c r="A272" i="16"/>
  <c r="D271" i="16"/>
  <c r="C271" i="16"/>
  <c r="B271" i="16"/>
  <c r="D270" i="16"/>
  <c r="C270" i="16"/>
  <c r="B270" i="16"/>
  <c r="D269" i="16"/>
  <c r="C269" i="16"/>
  <c r="B269" i="16"/>
  <c r="D268" i="16"/>
  <c r="C268" i="16"/>
  <c r="B268" i="16"/>
  <c r="D267" i="16"/>
  <c r="C267" i="16"/>
  <c r="B267" i="16"/>
  <c r="D266" i="16"/>
  <c r="C266" i="16"/>
  <c r="B266" i="16"/>
  <c r="D265" i="16"/>
  <c r="C265" i="16"/>
  <c r="B265" i="16"/>
  <c r="D264" i="16"/>
  <c r="C264" i="16"/>
  <c r="B264" i="16"/>
  <c r="D263" i="16"/>
  <c r="C263" i="16"/>
  <c r="B263" i="16"/>
  <c r="D262" i="16"/>
  <c r="C262" i="16"/>
  <c r="B262" i="16"/>
  <c r="D261" i="16"/>
  <c r="C261" i="16"/>
  <c r="A261" i="16"/>
  <c r="D260" i="16"/>
  <c r="C260" i="16"/>
  <c r="B260" i="16"/>
  <c r="D259" i="16"/>
  <c r="C259" i="16"/>
  <c r="B259" i="16"/>
  <c r="D258" i="16"/>
  <c r="C258" i="16"/>
  <c r="B258" i="16"/>
  <c r="D257" i="16"/>
  <c r="C257" i="16"/>
  <c r="B257" i="16"/>
  <c r="D256" i="16"/>
  <c r="C256" i="16"/>
  <c r="B256" i="16"/>
  <c r="D255" i="16"/>
  <c r="C255" i="16"/>
  <c r="B255" i="16"/>
  <c r="D254" i="16"/>
  <c r="C254" i="16"/>
  <c r="B254" i="16"/>
  <c r="D253" i="16"/>
  <c r="C253" i="16"/>
  <c r="B253" i="16"/>
  <c r="D252" i="16"/>
  <c r="C252" i="16"/>
  <c r="B252" i="16"/>
  <c r="D251" i="16"/>
  <c r="C251" i="16"/>
  <c r="B251" i="16"/>
  <c r="D250" i="16"/>
  <c r="C250" i="16"/>
  <c r="B250" i="16"/>
  <c r="D249" i="16"/>
  <c r="C249" i="16"/>
  <c r="B249" i="16"/>
  <c r="D248" i="16"/>
  <c r="C248" i="16"/>
  <c r="A248" i="16"/>
  <c r="D247" i="16"/>
  <c r="C247" i="16"/>
  <c r="B247" i="16"/>
  <c r="D246" i="16"/>
  <c r="C246" i="16"/>
  <c r="B246" i="16"/>
  <c r="D245" i="16"/>
  <c r="C245" i="16"/>
  <c r="B245" i="16"/>
  <c r="D244" i="16"/>
  <c r="C244" i="16"/>
  <c r="B244" i="16"/>
  <c r="D243" i="16"/>
  <c r="C243" i="16"/>
  <c r="B243" i="16"/>
  <c r="D242" i="16"/>
  <c r="C242" i="16"/>
  <c r="B242" i="16"/>
  <c r="D241" i="16"/>
  <c r="C241" i="16"/>
  <c r="B241" i="16"/>
  <c r="D240" i="16"/>
  <c r="C240" i="16"/>
  <c r="B240" i="16"/>
  <c r="D239" i="16"/>
  <c r="C239" i="16"/>
  <c r="B239" i="16"/>
  <c r="D238" i="16"/>
  <c r="C238" i="16"/>
  <c r="B238" i="16"/>
  <c r="D237" i="16"/>
  <c r="C237" i="16"/>
  <c r="B237" i="16"/>
  <c r="D236" i="16"/>
  <c r="C236" i="16"/>
  <c r="B236" i="16"/>
  <c r="D235" i="16"/>
  <c r="C235" i="16"/>
  <c r="B235" i="16"/>
  <c r="D234" i="16"/>
  <c r="C234" i="16"/>
  <c r="B234" i="16"/>
  <c r="D233" i="16"/>
  <c r="C233" i="16"/>
  <c r="B233" i="16"/>
  <c r="D232" i="16"/>
  <c r="C232" i="16"/>
  <c r="B232" i="16"/>
  <c r="D231" i="16"/>
  <c r="C231" i="16"/>
  <c r="B231" i="16"/>
  <c r="D230" i="16"/>
  <c r="C230" i="16"/>
  <c r="B230" i="16"/>
  <c r="D229" i="16"/>
  <c r="C229" i="16"/>
  <c r="B229" i="16"/>
  <c r="D228" i="16"/>
  <c r="C228" i="16"/>
  <c r="B228" i="16"/>
  <c r="D227" i="16"/>
  <c r="C227" i="16"/>
  <c r="B227" i="16"/>
  <c r="D226" i="16"/>
  <c r="C226" i="16"/>
  <c r="B226" i="16"/>
  <c r="D225" i="16"/>
  <c r="C225" i="16"/>
  <c r="B225" i="16"/>
  <c r="D224" i="16"/>
  <c r="C224" i="16"/>
  <c r="B224" i="16"/>
  <c r="D223" i="16"/>
  <c r="C223" i="16"/>
  <c r="B223" i="16"/>
  <c r="D222" i="16"/>
  <c r="C222" i="16"/>
  <c r="B222" i="16"/>
  <c r="D221" i="16"/>
  <c r="C221" i="16"/>
  <c r="B221" i="16"/>
  <c r="D220" i="16"/>
  <c r="C220" i="16"/>
  <c r="B220" i="16"/>
  <c r="D219" i="16"/>
  <c r="C219" i="16"/>
  <c r="B219" i="16"/>
  <c r="D218" i="16"/>
  <c r="C218" i="16"/>
  <c r="A218" i="16"/>
  <c r="D217" i="16"/>
  <c r="C217" i="16"/>
  <c r="B217" i="16"/>
  <c r="D216" i="16"/>
  <c r="C216" i="16"/>
  <c r="B216" i="16"/>
  <c r="D215" i="16"/>
  <c r="C215" i="16"/>
  <c r="B215" i="16"/>
  <c r="D214" i="16"/>
  <c r="C214" i="16"/>
  <c r="B214" i="16"/>
  <c r="D213" i="16"/>
  <c r="C213" i="16"/>
  <c r="B213" i="16"/>
  <c r="D212" i="16"/>
  <c r="C212" i="16"/>
  <c r="B212" i="16"/>
  <c r="D211" i="16"/>
  <c r="C211" i="16"/>
  <c r="B211" i="16"/>
  <c r="D210" i="16"/>
  <c r="C210" i="16"/>
  <c r="B210" i="16"/>
  <c r="D209" i="16"/>
  <c r="C209" i="16"/>
  <c r="B209" i="16"/>
  <c r="D208" i="16"/>
  <c r="C208" i="16"/>
  <c r="A208" i="16"/>
  <c r="D207" i="16"/>
  <c r="C207" i="16"/>
  <c r="B207" i="16"/>
  <c r="D206" i="16"/>
  <c r="C206" i="16"/>
  <c r="B206" i="16"/>
  <c r="D205" i="16"/>
  <c r="C205" i="16"/>
  <c r="B205" i="16"/>
  <c r="D204" i="16"/>
  <c r="C204" i="16"/>
  <c r="B204" i="16"/>
  <c r="D203" i="16"/>
  <c r="C203" i="16"/>
  <c r="B203" i="16"/>
  <c r="D202" i="16"/>
  <c r="C202" i="16"/>
  <c r="B202" i="16"/>
  <c r="D201" i="16"/>
  <c r="C201" i="16"/>
  <c r="B201" i="16"/>
  <c r="D200" i="16"/>
  <c r="C200" i="16"/>
  <c r="B200" i="16"/>
  <c r="D199" i="16"/>
  <c r="C199" i="16"/>
  <c r="B199" i="16"/>
  <c r="D198" i="16"/>
  <c r="C198" i="16"/>
  <c r="B198" i="16"/>
  <c r="D197" i="16"/>
  <c r="C197" i="16"/>
  <c r="B197" i="16"/>
  <c r="D196" i="16"/>
  <c r="C196" i="16"/>
  <c r="B196" i="16"/>
  <c r="D195" i="16"/>
  <c r="C195" i="16"/>
  <c r="B195" i="16"/>
  <c r="D194" i="16"/>
  <c r="C194" i="16"/>
  <c r="B194" i="16"/>
  <c r="D193" i="16"/>
  <c r="C193" i="16"/>
  <c r="B193" i="16"/>
  <c r="D192" i="16"/>
  <c r="C192" i="16"/>
  <c r="B192" i="16"/>
  <c r="D191" i="16"/>
  <c r="C191" i="16"/>
  <c r="B191" i="16"/>
  <c r="D190" i="16"/>
  <c r="C190" i="16"/>
  <c r="B190" i="16"/>
  <c r="D189" i="16"/>
  <c r="C189" i="16"/>
  <c r="A189" i="16"/>
  <c r="D188" i="16"/>
  <c r="C188" i="16"/>
  <c r="B188" i="16"/>
  <c r="D187" i="16"/>
  <c r="C187" i="16"/>
  <c r="B187" i="16"/>
  <c r="D186" i="16"/>
  <c r="C186" i="16"/>
  <c r="B186" i="16"/>
  <c r="D185" i="16"/>
  <c r="C185" i="16"/>
  <c r="B185" i="16"/>
  <c r="D184" i="16"/>
  <c r="C184" i="16"/>
  <c r="B184" i="16"/>
  <c r="D183" i="16"/>
  <c r="C183" i="16"/>
  <c r="B183" i="16"/>
  <c r="D182" i="16"/>
  <c r="C182" i="16"/>
  <c r="A182" i="16"/>
  <c r="D181" i="16"/>
  <c r="C181" i="16"/>
  <c r="B181" i="16"/>
  <c r="D180" i="16"/>
  <c r="C180" i="16"/>
  <c r="B180" i="16"/>
  <c r="D179" i="16"/>
  <c r="C179" i="16"/>
  <c r="B179" i="16"/>
  <c r="D178" i="16"/>
  <c r="C178" i="16"/>
  <c r="B178" i="16"/>
  <c r="D177" i="16"/>
  <c r="C177" i="16"/>
  <c r="A177" i="16"/>
  <c r="D176" i="16"/>
  <c r="C176" i="16"/>
  <c r="B176" i="16"/>
  <c r="D175" i="16"/>
  <c r="C175" i="16"/>
  <c r="B175" i="16"/>
  <c r="D174" i="16"/>
  <c r="C174" i="16"/>
  <c r="B174" i="16"/>
  <c r="D173" i="16"/>
  <c r="C173" i="16"/>
  <c r="B173" i="16"/>
  <c r="D172" i="16"/>
  <c r="C172" i="16"/>
  <c r="B172" i="16"/>
  <c r="D171" i="16"/>
  <c r="C171" i="16"/>
  <c r="B171" i="16"/>
  <c r="D170" i="16"/>
  <c r="C170" i="16"/>
  <c r="B170" i="16"/>
  <c r="D169" i="16"/>
  <c r="C169" i="16"/>
  <c r="B169" i="16"/>
  <c r="D168" i="16"/>
  <c r="C168" i="16"/>
  <c r="B168" i="16"/>
  <c r="D167" i="16"/>
  <c r="C167" i="16"/>
  <c r="B167" i="16"/>
  <c r="D166" i="16"/>
  <c r="C166" i="16"/>
  <c r="B166" i="16"/>
  <c r="D165" i="16"/>
  <c r="C165" i="16"/>
  <c r="A165" i="16"/>
  <c r="D164" i="16"/>
  <c r="C164" i="16"/>
  <c r="B164" i="16"/>
  <c r="D163" i="16"/>
  <c r="C163" i="16"/>
  <c r="B163" i="16"/>
  <c r="D162" i="16"/>
  <c r="C162" i="16"/>
  <c r="B162" i="16"/>
  <c r="D161" i="16"/>
  <c r="C161" i="16"/>
  <c r="B161" i="16"/>
  <c r="D160" i="16"/>
  <c r="C160" i="16"/>
  <c r="B160" i="16"/>
  <c r="D159" i="16"/>
  <c r="C159" i="16"/>
  <c r="B159" i="16"/>
  <c r="D158" i="16"/>
  <c r="C158" i="16"/>
  <c r="B158" i="16"/>
  <c r="D157" i="16"/>
  <c r="C157" i="16"/>
  <c r="B157" i="16"/>
  <c r="D156" i="16"/>
  <c r="C156" i="16"/>
  <c r="B156" i="16"/>
  <c r="D155" i="16"/>
  <c r="C155" i="16"/>
  <c r="B155" i="16"/>
  <c r="D154" i="16"/>
  <c r="C154" i="16"/>
  <c r="B154" i="16"/>
  <c r="D153" i="16"/>
  <c r="C153" i="16"/>
  <c r="B153" i="16"/>
  <c r="D152" i="16"/>
  <c r="C152" i="16"/>
  <c r="B152" i="16"/>
  <c r="D151" i="16"/>
  <c r="C151" i="16"/>
  <c r="B151" i="16"/>
  <c r="D150" i="16"/>
  <c r="C150" i="16"/>
  <c r="B150" i="16"/>
  <c r="D149" i="16"/>
  <c r="C149" i="16"/>
  <c r="B149" i="16"/>
  <c r="D148" i="16"/>
  <c r="C148" i="16"/>
  <c r="A148" i="16"/>
  <c r="D147" i="16"/>
  <c r="C147" i="16"/>
  <c r="B147" i="16"/>
  <c r="D146" i="16"/>
  <c r="C146" i="16"/>
  <c r="B146" i="16"/>
  <c r="D145" i="16"/>
  <c r="C145" i="16"/>
  <c r="B145" i="16"/>
  <c r="D144" i="16"/>
  <c r="C144" i="16"/>
  <c r="B144" i="16"/>
  <c r="D143" i="16"/>
  <c r="C143" i="16"/>
  <c r="B143" i="16"/>
  <c r="D142" i="16"/>
  <c r="C142" i="16"/>
  <c r="B142" i="16"/>
  <c r="D141" i="16"/>
  <c r="C141" i="16"/>
  <c r="B141" i="16"/>
  <c r="D140" i="16"/>
  <c r="C140" i="16"/>
  <c r="B140" i="16"/>
  <c r="D139" i="16"/>
  <c r="C139" i="16"/>
  <c r="B139" i="16"/>
  <c r="D138" i="16"/>
  <c r="C138" i="16"/>
  <c r="B138" i="16"/>
  <c r="D137" i="16"/>
  <c r="C137" i="16"/>
  <c r="B137" i="16"/>
  <c r="D136" i="16"/>
  <c r="C136" i="16"/>
  <c r="B136" i="16"/>
  <c r="D135" i="16"/>
  <c r="C135" i="16"/>
  <c r="B135" i="16"/>
  <c r="D134" i="16"/>
  <c r="C134" i="16"/>
  <c r="B134" i="16"/>
  <c r="D133" i="16"/>
  <c r="C133" i="16"/>
  <c r="A133" i="16"/>
  <c r="D132" i="16"/>
  <c r="C132" i="16"/>
  <c r="B132" i="16"/>
  <c r="D131" i="16"/>
  <c r="C131" i="16"/>
  <c r="B131" i="16"/>
  <c r="D130" i="16"/>
  <c r="C130" i="16"/>
  <c r="B130" i="16"/>
  <c r="D129" i="16"/>
  <c r="C129" i="16"/>
  <c r="B129" i="16"/>
  <c r="D128" i="16"/>
  <c r="C128" i="16"/>
  <c r="B128" i="16"/>
  <c r="D127" i="16"/>
  <c r="C127" i="16"/>
  <c r="B127" i="16"/>
  <c r="D126" i="16"/>
  <c r="C126" i="16"/>
  <c r="B126" i="16"/>
  <c r="D125" i="16"/>
  <c r="C125" i="16"/>
  <c r="B125" i="16"/>
  <c r="D124" i="16"/>
  <c r="C124" i="16"/>
  <c r="B124" i="16"/>
  <c r="D123" i="16"/>
  <c r="C123" i="16"/>
  <c r="B123" i="16"/>
  <c r="D122" i="16"/>
  <c r="C122" i="16"/>
  <c r="B122" i="16"/>
  <c r="D121" i="16"/>
  <c r="C121" i="16"/>
  <c r="B121" i="16"/>
  <c r="D120" i="16"/>
  <c r="C120" i="16"/>
  <c r="B120" i="16"/>
  <c r="D119" i="16"/>
  <c r="C119" i="16"/>
  <c r="B119" i="16"/>
  <c r="D118" i="16"/>
  <c r="C118" i="16"/>
  <c r="B118" i="16"/>
  <c r="D117" i="16"/>
  <c r="C117" i="16"/>
  <c r="B117" i="16"/>
  <c r="D116" i="16"/>
  <c r="C116" i="16"/>
  <c r="B116" i="16"/>
  <c r="D115" i="16"/>
  <c r="C115" i="16"/>
  <c r="B115" i="16"/>
  <c r="D114" i="16"/>
  <c r="C114" i="16"/>
  <c r="B114" i="16"/>
  <c r="D113" i="16"/>
  <c r="C113" i="16"/>
  <c r="B113" i="16"/>
  <c r="D112" i="16"/>
  <c r="C112" i="16"/>
  <c r="B112" i="16"/>
  <c r="D111" i="16"/>
  <c r="C111" i="16"/>
  <c r="B111" i="16"/>
  <c r="D110" i="16"/>
  <c r="C110" i="16"/>
  <c r="B110" i="16"/>
  <c r="D109" i="16"/>
  <c r="C109" i="16"/>
  <c r="A109" i="16"/>
  <c r="D97" i="16"/>
  <c r="C97" i="16"/>
  <c r="B97" i="16"/>
  <c r="D96" i="16"/>
  <c r="C96" i="16"/>
  <c r="B96" i="16"/>
  <c r="D95" i="16"/>
  <c r="C95" i="16"/>
  <c r="B95" i="16"/>
  <c r="D94" i="16"/>
  <c r="C94" i="16"/>
  <c r="B94" i="16"/>
  <c r="D93" i="16"/>
  <c r="C93" i="16"/>
  <c r="B93" i="16"/>
  <c r="D92" i="16"/>
  <c r="C92" i="16"/>
  <c r="B92" i="16"/>
  <c r="D91" i="16"/>
  <c r="C91" i="16"/>
  <c r="B91" i="16"/>
  <c r="D90" i="16"/>
  <c r="C90" i="16"/>
  <c r="B90" i="16"/>
  <c r="D89" i="16"/>
  <c r="C89" i="16"/>
  <c r="B89" i="16"/>
  <c r="D88" i="16"/>
  <c r="C88" i="16"/>
  <c r="B88" i="16"/>
  <c r="D87" i="16"/>
  <c r="C87" i="16"/>
  <c r="B87" i="16"/>
  <c r="D86" i="16"/>
  <c r="C86" i="16"/>
  <c r="B86" i="16"/>
  <c r="D85" i="16"/>
  <c r="C85" i="16"/>
  <c r="B85" i="16"/>
  <c r="D84" i="16"/>
  <c r="C84" i="16"/>
  <c r="B84" i="16"/>
  <c r="D83" i="16"/>
  <c r="C83" i="16"/>
  <c r="B83" i="16"/>
  <c r="D82" i="16"/>
  <c r="C82" i="16"/>
  <c r="B82" i="16"/>
  <c r="D81" i="16"/>
  <c r="C81" i="16"/>
  <c r="B81" i="16"/>
  <c r="D80" i="16"/>
  <c r="C80" i="16"/>
  <c r="B80" i="16"/>
  <c r="D79" i="16"/>
  <c r="C79" i="16"/>
  <c r="A79" i="16"/>
  <c r="D78" i="16"/>
  <c r="C78" i="16"/>
  <c r="B78" i="16"/>
  <c r="D77" i="16"/>
  <c r="C77" i="16"/>
  <c r="B77" i="16"/>
  <c r="D76" i="16"/>
  <c r="C76" i="16"/>
  <c r="B76" i="16"/>
  <c r="D75" i="16"/>
  <c r="C75" i="16"/>
  <c r="B75" i="16"/>
  <c r="D74" i="16"/>
  <c r="C74" i="16"/>
  <c r="B74" i="16"/>
  <c r="D73" i="16"/>
  <c r="C73" i="16"/>
  <c r="B73" i="16"/>
  <c r="D72" i="16"/>
  <c r="C72" i="16"/>
  <c r="B72" i="16"/>
  <c r="D71" i="16"/>
  <c r="C71" i="16"/>
  <c r="B71" i="16"/>
  <c r="D70" i="16"/>
  <c r="C70" i="16"/>
  <c r="B70" i="16"/>
  <c r="D69" i="16"/>
  <c r="C69" i="16"/>
  <c r="B69" i="16"/>
  <c r="D68" i="16"/>
  <c r="C68" i="16"/>
  <c r="B68" i="16"/>
  <c r="D67" i="16"/>
  <c r="C67" i="16"/>
  <c r="B67" i="16"/>
  <c r="D66" i="16"/>
  <c r="C66" i="16"/>
  <c r="B66" i="16"/>
  <c r="D65" i="16"/>
  <c r="C65" i="16"/>
  <c r="B65" i="16"/>
  <c r="D64" i="16"/>
  <c r="C64" i="16"/>
  <c r="B64" i="16"/>
  <c r="D63" i="16"/>
  <c r="C63" i="16"/>
  <c r="A63" i="16"/>
  <c r="D62" i="16"/>
  <c r="C62" i="16"/>
  <c r="B62" i="16"/>
  <c r="D61" i="16"/>
  <c r="C61" i="16"/>
  <c r="B61" i="16"/>
  <c r="D60" i="16"/>
  <c r="C60" i="16"/>
  <c r="B60" i="16"/>
  <c r="D59" i="16"/>
  <c r="C59" i="16"/>
  <c r="B59" i="16"/>
  <c r="D58" i="16"/>
  <c r="C58" i="16"/>
  <c r="B58" i="16"/>
  <c r="D57" i="16"/>
  <c r="C57" i="16"/>
  <c r="B57" i="16"/>
  <c r="D56" i="16"/>
  <c r="C56" i="16"/>
  <c r="B56" i="16"/>
  <c r="D55" i="16"/>
  <c r="C55" i="16"/>
  <c r="B55" i="16"/>
  <c r="D54" i="16"/>
  <c r="C54" i="16"/>
  <c r="B54" i="16"/>
  <c r="D53" i="16"/>
  <c r="C53" i="16"/>
  <c r="B53" i="16"/>
  <c r="D52" i="16"/>
  <c r="C52" i="16"/>
  <c r="B52" i="16"/>
  <c r="D51" i="16"/>
  <c r="C51" i="16"/>
  <c r="B51" i="16"/>
  <c r="D50" i="16"/>
  <c r="C50" i="16"/>
  <c r="B50" i="16"/>
  <c r="D49" i="16"/>
  <c r="C49" i="16"/>
  <c r="B49" i="16"/>
  <c r="D48" i="16"/>
  <c r="C48" i="16"/>
  <c r="B48" i="16"/>
  <c r="D47" i="16"/>
  <c r="C47" i="16"/>
  <c r="B47" i="16"/>
  <c r="D46" i="16"/>
  <c r="C46" i="16"/>
  <c r="A46" i="16"/>
  <c r="D45" i="16"/>
  <c r="C45" i="16"/>
  <c r="B45" i="16"/>
  <c r="D44" i="16"/>
  <c r="C44" i="16"/>
  <c r="B44" i="16"/>
  <c r="D43" i="16"/>
  <c r="C43" i="16"/>
  <c r="B43" i="16"/>
  <c r="D42" i="16"/>
  <c r="C42" i="16"/>
  <c r="B42" i="16"/>
  <c r="D41" i="16"/>
  <c r="C41" i="16"/>
  <c r="B41" i="16"/>
  <c r="D40" i="16"/>
  <c r="C40" i="16"/>
  <c r="A40" i="16"/>
  <c r="B29" i="4"/>
  <c r="A32" i="3"/>
  <c r="A71" i="8" l="1"/>
  <c r="D310" i="16"/>
  <c r="C310" i="16"/>
  <c r="D309" i="16"/>
  <c r="C309" i="16"/>
  <c r="D108" i="16"/>
  <c r="C108" i="16"/>
  <c r="D107" i="16"/>
  <c r="C107" i="16"/>
  <c r="D106" i="16"/>
  <c r="C106" i="16"/>
  <c r="D105" i="16"/>
  <c r="C105" i="16"/>
  <c r="D104" i="16"/>
  <c r="C104" i="16"/>
  <c r="D103" i="16"/>
  <c r="C103" i="16"/>
  <c r="D102" i="16"/>
  <c r="C102" i="16"/>
  <c r="D101" i="16"/>
  <c r="C101" i="16"/>
  <c r="D100" i="16"/>
  <c r="C100" i="16"/>
  <c r="D99" i="16"/>
  <c r="C99" i="16"/>
  <c r="D98" i="16"/>
  <c r="C98" i="16"/>
  <c r="D39" i="16"/>
  <c r="C39" i="16"/>
  <c r="D38" i="16"/>
  <c r="C38" i="16"/>
  <c r="D37" i="16"/>
  <c r="C37" i="16"/>
  <c r="D36" i="16"/>
  <c r="C36" i="16"/>
  <c r="D35" i="16"/>
  <c r="C35" i="16"/>
  <c r="D34" i="16"/>
  <c r="C34" i="16"/>
  <c r="D33" i="16"/>
  <c r="C33" i="16"/>
  <c r="D25" i="16"/>
  <c r="D26" i="16"/>
  <c r="D27" i="16"/>
  <c r="D28" i="16"/>
  <c r="D29" i="16"/>
  <c r="D30" i="16"/>
  <c r="D31" i="16"/>
  <c r="D22" i="16"/>
  <c r="C22" i="16"/>
  <c r="D21" i="16"/>
  <c r="C21" i="16"/>
  <c r="D20" i="16"/>
  <c r="C20" i="16"/>
  <c r="D19" i="16"/>
  <c r="C19" i="16"/>
  <c r="D18" i="16"/>
  <c r="C18" i="16"/>
  <c r="C9" i="16"/>
  <c r="D9" i="16"/>
  <c r="C10" i="16"/>
  <c r="D10" i="16"/>
  <c r="C11" i="16"/>
  <c r="D11" i="16"/>
  <c r="C12" i="16"/>
  <c r="D12" i="16"/>
  <c r="C13" i="16"/>
  <c r="D13" i="16"/>
  <c r="C14" i="16"/>
  <c r="D14" i="16"/>
  <c r="C15" i="16"/>
  <c r="D15" i="16"/>
  <c r="C16" i="16"/>
  <c r="D16" i="16"/>
  <c r="D8" i="16"/>
  <c r="C8" i="16"/>
  <c r="F97" i="14"/>
  <c r="F96" i="14"/>
  <c r="F95" i="14"/>
  <c r="F94" i="14"/>
  <c r="F93" i="14"/>
  <c r="F92" i="14"/>
  <c r="F91" i="14"/>
  <c r="F90" i="14"/>
  <c r="F88" i="14"/>
  <c r="F87" i="14"/>
  <c r="F86" i="14"/>
  <c r="F85" i="14"/>
  <c r="F84" i="14"/>
  <c r="F83" i="14"/>
  <c r="F82" i="14"/>
  <c r="F81" i="14"/>
  <c r="F80" i="14"/>
  <c r="F79" i="14"/>
  <c r="F78" i="14"/>
  <c r="F77" i="14"/>
  <c r="F76" i="14"/>
  <c r="F75" i="14"/>
  <c r="F74" i="14"/>
  <c r="F72" i="14"/>
  <c r="F71" i="14"/>
  <c r="F70" i="14"/>
  <c r="F69" i="14"/>
  <c r="F68" i="14"/>
  <c r="F66" i="14"/>
  <c r="F65" i="14"/>
  <c r="F64" i="14"/>
  <c r="F63" i="14"/>
  <c r="F62" i="14"/>
  <c r="F61" i="14"/>
  <c r="F60" i="14"/>
  <c r="F59" i="14"/>
  <c r="F58" i="14"/>
  <c r="F57" i="14"/>
  <c r="F56" i="14"/>
  <c r="F55" i="14"/>
  <c r="F54" i="14"/>
  <c r="F52" i="14"/>
  <c r="F51" i="14"/>
  <c r="F50" i="14"/>
  <c r="F49" i="14"/>
  <c r="F48" i="14"/>
  <c r="F47" i="14"/>
  <c r="F46" i="14"/>
  <c r="F45" i="14"/>
  <c r="F43" i="14"/>
  <c r="F42" i="14"/>
  <c r="F40" i="14"/>
  <c r="F39" i="14"/>
  <c r="F37" i="14"/>
  <c r="F36" i="14"/>
  <c r="F35" i="14"/>
  <c r="F33" i="14"/>
  <c r="F32" i="14"/>
  <c r="F31" i="14"/>
  <c r="F30" i="14"/>
  <c r="F28" i="14"/>
  <c r="F27" i="14"/>
  <c r="F26" i="14"/>
  <c r="F25" i="14"/>
  <c r="F24" i="14"/>
  <c r="I120" i="25"/>
  <c r="G120" i="25"/>
  <c r="I119" i="25"/>
  <c r="G119" i="25"/>
  <c r="I118" i="25"/>
  <c r="G118" i="25"/>
  <c r="I117" i="25"/>
  <c r="G117" i="25"/>
  <c r="I116" i="25"/>
  <c r="G116" i="25"/>
  <c r="I115" i="25"/>
  <c r="G115" i="25"/>
  <c r="I114" i="25"/>
  <c r="G114" i="25"/>
  <c r="I113" i="25"/>
  <c r="G113" i="25"/>
  <c r="I111" i="25"/>
  <c r="G111" i="25"/>
  <c r="I110" i="25"/>
  <c r="G110" i="25"/>
  <c r="I109" i="25"/>
  <c r="G109" i="25"/>
  <c r="I108" i="25"/>
  <c r="G108" i="25"/>
  <c r="I107" i="25"/>
  <c r="G107" i="25"/>
  <c r="I106" i="25"/>
  <c r="G106" i="25"/>
  <c r="I105" i="25"/>
  <c r="G105" i="25"/>
  <c r="I104" i="25"/>
  <c r="G104" i="25"/>
  <c r="I103" i="25"/>
  <c r="G103" i="25"/>
  <c r="I102" i="25"/>
  <c r="G102" i="25"/>
  <c r="I101" i="25"/>
  <c r="G101" i="25"/>
  <c r="I100" i="25"/>
  <c r="G100" i="25"/>
  <c r="I99" i="25"/>
  <c r="G99" i="25"/>
  <c r="I98" i="25"/>
  <c r="G98" i="25"/>
  <c r="I97" i="25"/>
  <c r="G97" i="25"/>
  <c r="I95" i="25"/>
  <c r="G95" i="25"/>
  <c r="I94" i="25"/>
  <c r="G94" i="25"/>
  <c r="I93" i="25"/>
  <c r="G93" i="25"/>
  <c r="I92" i="25"/>
  <c r="G92" i="25"/>
  <c r="I91" i="25"/>
  <c r="G91" i="25"/>
  <c r="I89" i="25"/>
  <c r="G89" i="25"/>
  <c r="I88" i="25"/>
  <c r="G88" i="25"/>
  <c r="I87" i="25"/>
  <c r="G87" i="25"/>
  <c r="I86" i="25"/>
  <c r="G86" i="25"/>
  <c r="I85" i="25"/>
  <c r="G85" i="25"/>
  <c r="I84" i="25"/>
  <c r="G84" i="25"/>
  <c r="I83" i="25"/>
  <c r="G83" i="25"/>
  <c r="I82" i="25"/>
  <c r="G82" i="25"/>
  <c r="I81" i="25"/>
  <c r="G81" i="25"/>
  <c r="I80" i="25"/>
  <c r="G80" i="25"/>
  <c r="I79" i="25"/>
  <c r="G79" i="25"/>
  <c r="I78" i="25"/>
  <c r="G78" i="25"/>
  <c r="I77" i="25"/>
  <c r="G77" i="25"/>
  <c r="I75" i="25"/>
  <c r="G75" i="25"/>
  <c r="I74" i="25"/>
  <c r="G74" i="25"/>
  <c r="I73" i="25"/>
  <c r="G73" i="25"/>
  <c r="I72" i="25"/>
  <c r="G72" i="25"/>
  <c r="I71" i="25"/>
  <c r="G71" i="25"/>
  <c r="I70" i="25"/>
  <c r="G70" i="25"/>
  <c r="I69" i="25"/>
  <c r="G69" i="25"/>
  <c r="I68" i="25"/>
  <c r="G68" i="25"/>
  <c r="I66" i="25"/>
  <c r="G66" i="25"/>
  <c r="I65" i="25"/>
  <c r="G65" i="25"/>
  <c r="I63" i="25"/>
  <c r="G63" i="25"/>
  <c r="I62" i="25"/>
  <c r="G62" i="25"/>
  <c r="I60" i="25"/>
  <c r="G60" i="25"/>
  <c r="I59" i="25"/>
  <c r="G59" i="25"/>
  <c r="I58" i="25"/>
  <c r="G58" i="25"/>
  <c r="I56" i="25"/>
  <c r="G56" i="25"/>
  <c r="I55" i="25"/>
  <c r="G55" i="25"/>
  <c r="I54" i="25"/>
  <c r="G54" i="25"/>
  <c r="I53" i="25"/>
  <c r="G53" i="25"/>
  <c r="I51" i="25"/>
  <c r="G51" i="25"/>
  <c r="I50" i="25"/>
  <c r="G50" i="25"/>
  <c r="I49" i="25"/>
  <c r="G49" i="25"/>
  <c r="I48" i="25"/>
  <c r="G48" i="25"/>
  <c r="I47" i="25"/>
  <c r="G47" i="25"/>
  <c r="B91" i="14"/>
  <c r="A10" i="22"/>
  <c r="A23" i="16"/>
  <c r="I2" i="25" l="1"/>
  <c r="I2" i="22"/>
  <c r="F2" i="14"/>
  <c r="F2" i="13"/>
  <c r="F2" i="12"/>
  <c r="F2" i="11"/>
  <c r="F2" i="10"/>
  <c r="F2" i="9"/>
  <c r="F2" i="8"/>
  <c r="F2" i="4"/>
  <c r="A10" i="25" l="1"/>
  <c r="A43" i="25"/>
  <c r="A52" i="22"/>
  <c r="A9" i="22"/>
  <c r="A11" i="4"/>
  <c r="A11" i="8"/>
  <c r="A11" i="14"/>
  <c r="A11" i="13"/>
  <c r="A11" i="12"/>
  <c r="A11" i="11"/>
  <c r="A11" i="10"/>
  <c r="A11" i="9"/>
  <c r="A10" i="8"/>
  <c r="C17" i="25" l="1"/>
  <c r="C15" i="21"/>
  <c r="C17" i="22"/>
  <c r="E35" i="10"/>
  <c r="A7" i="21"/>
  <c r="A6" i="21"/>
  <c r="A5" i="21"/>
  <c r="A42" i="25"/>
  <c r="A41" i="25"/>
  <c r="A40" i="25"/>
  <c r="A39" i="25"/>
  <c r="A38" i="25"/>
  <c r="A9" i="25"/>
  <c r="A8" i="25"/>
  <c r="A7" i="25"/>
  <c r="A6" i="25"/>
  <c r="A5" i="25"/>
  <c r="A51" i="22"/>
  <c r="A50" i="22"/>
  <c r="A49" i="22"/>
  <c r="A48" i="22"/>
  <c r="A47" i="22"/>
  <c r="A8" i="22"/>
  <c r="A7" i="22"/>
  <c r="A6" i="22"/>
  <c r="A5" i="22"/>
  <c r="A10" i="4"/>
  <c r="A9" i="4"/>
  <c r="A8" i="4"/>
  <c r="A7" i="4"/>
  <c r="A6" i="4"/>
  <c r="A5" i="4"/>
  <c r="A9" i="8"/>
  <c r="A8" i="8"/>
  <c r="A7" i="8"/>
  <c r="A6" i="8"/>
  <c r="A5" i="8"/>
  <c r="A10" i="9"/>
  <c r="A9" i="9"/>
  <c r="A8" i="9"/>
  <c r="A7" i="9"/>
  <c r="A6" i="9"/>
  <c r="A5" i="9"/>
  <c r="A10" i="10"/>
  <c r="A9" i="10"/>
  <c r="A8" i="10"/>
  <c r="A7" i="10"/>
  <c r="A6" i="10"/>
  <c r="A5" i="10"/>
  <c r="A10" i="14"/>
  <c r="A9" i="14"/>
  <c r="A8" i="14"/>
  <c r="A7" i="14"/>
  <c r="A6" i="14"/>
  <c r="A5" i="14"/>
  <c r="A10" i="13"/>
  <c r="A9" i="13"/>
  <c r="A8" i="13"/>
  <c r="A7" i="13"/>
  <c r="A6" i="13"/>
  <c r="A5" i="13"/>
  <c r="A10" i="12"/>
  <c r="A9" i="12"/>
  <c r="A8" i="12"/>
  <c r="A7" i="12"/>
  <c r="A6" i="12"/>
  <c r="A5" i="12"/>
  <c r="A10" i="11"/>
  <c r="A9" i="11"/>
  <c r="A8" i="11"/>
  <c r="A7" i="11"/>
  <c r="A6" i="11"/>
  <c r="A5" i="11"/>
  <c r="A96" i="25" l="1"/>
  <c r="C3" i="8" l="1"/>
  <c r="B104" i="16"/>
  <c r="A32" i="16"/>
  <c r="A17" i="16"/>
  <c r="A7" i="16"/>
  <c r="C3" i="14"/>
  <c r="C3" i="13"/>
  <c r="C3" i="12"/>
  <c r="C3" i="11"/>
  <c r="C3" i="10"/>
  <c r="C3" i="9"/>
  <c r="B27" i="8" l="1"/>
  <c r="B27" i="4"/>
  <c r="A247" i="25" l="1"/>
  <c r="A217" i="25"/>
  <c r="A212" i="25"/>
  <c r="A207" i="25"/>
  <c r="A199" i="25"/>
  <c r="A192" i="25"/>
  <c r="A189" i="25"/>
  <c r="A173" i="25"/>
  <c r="A170" i="25"/>
  <c r="A164" i="25"/>
  <c r="A160" i="25"/>
  <c r="A150" i="25"/>
  <c r="A145" i="25"/>
  <c r="A142" i="25"/>
  <c r="A130" i="25"/>
  <c r="A135" i="25"/>
  <c r="B259" i="25"/>
  <c r="B258" i="25"/>
  <c r="B257" i="25"/>
  <c r="B256" i="25"/>
  <c r="B255" i="25"/>
  <c r="B254" i="25"/>
  <c r="B253" i="25"/>
  <c r="B252" i="25"/>
  <c r="B251" i="25"/>
  <c r="B250" i="25"/>
  <c r="B249" i="25"/>
  <c r="B248" i="25"/>
  <c r="B246" i="25"/>
  <c r="B245" i="25"/>
  <c r="B244" i="25"/>
  <c r="B243" i="25"/>
  <c r="B242" i="25"/>
  <c r="B241" i="25"/>
  <c r="B240" i="25"/>
  <c r="B239" i="25"/>
  <c r="B238" i="25"/>
  <c r="B237" i="25"/>
  <c r="B236" i="25"/>
  <c r="B235" i="25"/>
  <c r="B234" i="25"/>
  <c r="B233" i="25"/>
  <c r="B232" i="25"/>
  <c r="B231" i="25"/>
  <c r="B230" i="25"/>
  <c r="B229" i="25"/>
  <c r="B228" i="25"/>
  <c r="B227" i="25"/>
  <c r="B226" i="25"/>
  <c r="B225" i="25"/>
  <c r="B224" i="25"/>
  <c r="B223" i="25"/>
  <c r="B222" i="25"/>
  <c r="B221" i="25"/>
  <c r="B220" i="25"/>
  <c r="B219" i="25"/>
  <c r="B218" i="25"/>
  <c r="B216" i="25"/>
  <c r="B215" i="25"/>
  <c r="B214" i="25"/>
  <c r="B213" i="25"/>
  <c r="B211" i="25"/>
  <c r="B210" i="25"/>
  <c r="B209" i="25"/>
  <c r="B208" i="25"/>
  <c r="B206" i="25"/>
  <c r="B205" i="25"/>
  <c r="B204" i="25"/>
  <c r="B203" i="25"/>
  <c r="B202" i="25"/>
  <c r="B201" i="25"/>
  <c r="B200" i="25"/>
  <c r="B198" i="25"/>
  <c r="B197" i="25"/>
  <c r="B196" i="25"/>
  <c r="B195" i="25"/>
  <c r="B194" i="25"/>
  <c r="B193" i="25"/>
  <c r="B191" i="25"/>
  <c r="B190" i="25"/>
  <c r="B188" i="25"/>
  <c r="B187" i="25"/>
  <c r="B186" i="25"/>
  <c r="B185" i="25"/>
  <c r="B184" i="25"/>
  <c r="B183" i="25"/>
  <c r="B182" i="25"/>
  <c r="B181" i="25"/>
  <c r="B180" i="25"/>
  <c r="B179" i="25"/>
  <c r="B178" i="25"/>
  <c r="B177" i="25"/>
  <c r="B176" i="25"/>
  <c r="B175" i="25"/>
  <c r="B174" i="25"/>
  <c r="B172" i="25"/>
  <c r="B171" i="25"/>
  <c r="B169" i="25"/>
  <c r="B168" i="25"/>
  <c r="B167" i="25"/>
  <c r="B166" i="25"/>
  <c r="B165" i="25"/>
  <c r="B163" i="25"/>
  <c r="B162" i="25"/>
  <c r="B161" i="25"/>
  <c r="B159" i="25"/>
  <c r="B158" i="25"/>
  <c r="B157" i="25"/>
  <c r="B156" i="25"/>
  <c r="B155" i="25"/>
  <c r="B154" i="25"/>
  <c r="B153" i="25"/>
  <c r="B152" i="25"/>
  <c r="B151" i="25"/>
  <c r="B149" i="25"/>
  <c r="B148" i="25"/>
  <c r="B147" i="25"/>
  <c r="B146" i="25"/>
  <c r="B144" i="25"/>
  <c r="B143" i="25"/>
  <c r="B141" i="25"/>
  <c r="B140" i="25"/>
  <c r="B139" i="25"/>
  <c r="B138" i="25"/>
  <c r="B137" i="25"/>
  <c r="B136" i="25"/>
  <c r="B134" i="25"/>
  <c r="B133" i="25"/>
  <c r="B132" i="25"/>
  <c r="B131" i="25"/>
  <c r="B129" i="25"/>
  <c r="B128" i="25"/>
  <c r="B127" i="25"/>
  <c r="B126" i="25"/>
  <c r="A125" i="25"/>
  <c r="G38" i="22"/>
  <c r="A79" i="22"/>
  <c r="A78" i="22"/>
  <c r="A24" i="20"/>
  <c r="B22" i="14"/>
  <c r="B36" i="4"/>
  <c r="B35" i="4"/>
  <c r="I78" i="22" l="1"/>
  <c r="G78" i="22"/>
  <c r="I79" i="22"/>
  <c r="G79" i="22"/>
  <c r="D24" i="20"/>
  <c r="C24" i="20"/>
  <c r="B24" i="20"/>
  <c r="E24" i="20"/>
  <c r="B120" i="25"/>
  <c r="B119" i="25"/>
  <c r="B118" i="25"/>
  <c r="B117" i="25"/>
  <c r="B116" i="25"/>
  <c r="B115" i="25"/>
  <c r="B114" i="25"/>
  <c r="B113" i="25"/>
  <c r="A112" i="25"/>
  <c r="B111" i="25"/>
  <c r="B110" i="25"/>
  <c r="B109" i="25"/>
  <c r="B108" i="25"/>
  <c r="B107" i="25"/>
  <c r="B106" i="25"/>
  <c r="B105" i="25"/>
  <c r="B104" i="25"/>
  <c r="B103" i="25"/>
  <c r="B102" i="25"/>
  <c r="B101" i="25"/>
  <c r="B100" i="25"/>
  <c r="B99" i="25"/>
  <c r="B98" i="25"/>
  <c r="B97" i="25"/>
  <c r="B95" i="25"/>
  <c r="B94" i="25"/>
  <c r="B93" i="25"/>
  <c r="B92" i="25"/>
  <c r="B91" i="25"/>
  <c r="A90" i="25"/>
  <c r="B89" i="25"/>
  <c r="B88" i="25"/>
  <c r="B87" i="25"/>
  <c r="B86" i="25"/>
  <c r="B85" i="25"/>
  <c r="B84" i="25"/>
  <c r="B83" i="25"/>
  <c r="B82" i="25"/>
  <c r="B81" i="25"/>
  <c r="B80" i="25"/>
  <c r="B79" i="25"/>
  <c r="B78" i="25"/>
  <c r="B77" i="25"/>
  <c r="A76" i="25"/>
  <c r="B75" i="25"/>
  <c r="B74" i="25"/>
  <c r="B73" i="25"/>
  <c r="B72" i="25"/>
  <c r="B71" i="25"/>
  <c r="B70" i="25"/>
  <c r="B69" i="25"/>
  <c r="B68" i="25"/>
  <c r="A67" i="25"/>
  <c r="B66" i="25"/>
  <c r="B65" i="25"/>
  <c r="A64" i="25"/>
  <c r="B63" i="25"/>
  <c r="B62" i="25"/>
  <c r="A61" i="25"/>
  <c r="B60" i="25"/>
  <c r="B59" i="25"/>
  <c r="B58" i="25"/>
  <c r="A57" i="25"/>
  <c r="B56" i="25"/>
  <c r="B55" i="25"/>
  <c r="B54" i="25"/>
  <c r="B53" i="25"/>
  <c r="A52" i="25"/>
  <c r="B51" i="25"/>
  <c r="B50" i="25"/>
  <c r="B49" i="25"/>
  <c r="B48" i="25"/>
  <c r="B47" i="25"/>
  <c r="A46" i="25"/>
  <c r="B30" i="25"/>
  <c r="B29" i="25"/>
  <c r="B28" i="25"/>
  <c r="B27" i="25"/>
  <c r="B26" i="25"/>
  <c r="B25" i="25"/>
  <c r="B24" i="25"/>
  <c r="B23" i="25"/>
  <c r="B22" i="25"/>
  <c r="B21" i="25"/>
  <c r="O24" i="20" l="1"/>
  <c r="L24" i="20"/>
  <c r="B37" i="22"/>
  <c r="G37" i="22" s="1"/>
  <c r="C17" i="14"/>
  <c r="C16" i="14"/>
  <c r="C15" i="14"/>
  <c r="C14" i="14"/>
  <c r="C13" i="14"/>
  <c r="C16" i="13"/>
  <c r="C15" i="13"/>
  <c r="C14" i="13"/>
  <c r="C13" i="13"/>
  <c r="C16" i="12"/>
  <c r="C15" i="12"/>
  <c r="C14" i="12"/>
  <c r="C13" i="12"/>
  <c r="C16" i="11"/>
  <c r="C15" i="11"/>
  <c r="C14" i="11"/>
  <c r="C13" i="11"/>
  <c r="C16" i="10"/>
  <c r="C15" i="10"/>
  <c r="C14" i="10"/>
  <c r="C13" i="10"/>
  <c r="C16" i="9"/>
  <c r="C15" i="9"/>
  <c r="C14" i="9"/>
  <c r="C13" i="9"/>
  <c r="A227" i="22"/>
  <c r="A228" i="22"/>
  <c r="A229" i="22"/>
  <c r="A230" i="22"/>
  <c r="A231" i="22"/>
  <c r="A232" i="22"/>
  <c r="A233" i="22"/>
  <c r="A234" i="22"/>
  <c r="A235" i="22"/>
  <c r="A236" i="22"/>
  <c r="A237" i="22"/>
  <c r="A238" i="22"/>
  <c r="A239" i="22"/>
  <c r="A240" i="22"/>
  <c r="A241" i="22"/>
  <c r="A242" i="22"/>
  <c r="A243" i="22"/>
  <c r="A244" i="22"/>
  <c r="A310" i="22"/>
  <c r="A311" i="22"/>
  <c r="A313" i="22"/>
  <c r="A314" i="22"/>
  <c r="A315" i="22"/>
  <c r="A316" i="22"/>
  <c r="A317" i="22"/>
  <c r="A319" i="22"/>
  <c r="A320" i="22"/>
  <c r="A321" i="22"/>
  <c r="A322" i="22"/>
  <c r="A323" i="22"/>
  <c r="A325" i="22"/>
  <c r="A326" i="22"/>
  <c r="A327" i="22"/>
  <c r="A328" i="22"/>
  <c r="A329" i="22"/>
  <c r="A331" i="22"/>
  <c r="A332" i="22"/>
  <c r="A333" i="22"/>
  <c r="A334" i="22"/>
  <c r="A335" i="22"/>
  <c r="A336" i="22"/>
  <c r="A337" i="22"/>
  <c r="A338" i="22"/>
  <c r="A340" i="22"/>
  <c r="A341" i="22"/>
  <c r="A342" i="22"/>
  <c r="A343" i="22"/>
  <c r="A344" i="22"/>
  <c r="A345" i="22"/>
  <c r="A246" i="22"/>
  <c r="A247" i="22"/>
  <c r="A248" i="22"/>
  <c r="A249" i="22"/>
  <c r="A250" i="22"/>
  <c r="A251" i="22"/>
  <c r="A252" i="22"/>
  <c r="A253" i="22"/>
  <c r="A254" i="22"/>
  <c r="A256" i="22"/>
  <c r="A257" i="22"/>
  <c r="A258" i="22"/>
  <c r="A259" i="22"/>
  <c r="A260" i="22"/>
  <c r="A261" i="22"/>
  <c r="A262" i="22"/>
  <c r="A263" i="22"/>
  <c r="A264" i="22"/>
  <c r="A265" i="22"/>
  <c r="A266" i="22"/>
  <c r="A267" i="22"/>
  <c r="A268" i="22"/>
  <c r="A269" i="22"/>
  <c r="A270" i="22"/>
  <c r="A271" i="22"/>
  <c r="A272" i="22"/>
  <c r="A273" i="22"/>
  <c r="A274" i="22"/>
  <c r="A275" i="22"/>
  <c r="A276" i="22"/>
  <c r="A277" i="22"/>
  <c r="A278" i="22"/>
  <c r="A279" i="22"/>
  <c r="A280" i="22"/>
  <c r="A281" i="22"/>
  <c r="A282" i="22"/>
  <c r="A283" i="22"/>
  <c r="A284" i="22"/>
  <c r="A286" i="22"/>
  <c r="A287" i="22"/>
  <c r="A288" i="22"/>
  <c r="A289" i="22"/>
  <c r="A290" i="22"/>
  <c r="A291" i="22"/>
  <c r="A292" i="22"/>
  <c r="A293" i="22"/>
  <c r="A294" i="22"/>
  <c r="A295" i="22"/>
  <c r="A296" i="22"/>
  <c r="A297" i="22"/>
  <c r="A299" i="22"/>
  <c r="A300" i="22"/>
  <c r="A301" i="22"/>
  <c r="A302" i="22"/>
  <c r="A303" i="22"/>
  <c r="A304" i="22"/>
  <c r="A305" i="22"/>
  <c r="A306" i="22"/>
  <c r="A307" i="22"/>
  <c r="A308" i="22"/>
  <c r="A171" i="22"/>
  <c r="A172" i="22"/>
  <c r="A173" i="22"/>
  <c r="A174" i="22"/>
  <c r="A175" i="22"/>
  <c r="A176" i="22"/>
  <c r="A177" i="22"/>
  <c r="A178" i="22"/>
  <c r="A179" i="22"/>
  <c r="A180" i="22"/>
  <c r="A181" i="22"/>
  <c r="A182" i="22"/>
  <c r="A183" i="22"/>
  <c r="A184" i="22"/>
  <c r="A186" i="22"/>
  <c r="A187" i="22"/>
  <c r="A188" i="22"/>
  <c r="A189" i="22"/>
  <c r="A190" i="22"/>
  <c r="A191" i="22"/>
  <c r="A192" i="22"/>
  <c r="A193" i="22"/>
  <c r="A194" i="22"/>
  <c r="A195" i="22"/>
  <c r="A196" i="22"/>
  <c r="A197" i="22"/>
  <c r="A198" i="22"/>
  <c r="A199" i="22"/>
  <c r="A200" i="22"/>
  <c r="A201" i="22"/>
  <c r="A203" i="22"/>
  <c r="A204" i="22"/>
  <c r="A205" i="22"/>
  <c r="A206" i="22"/>
  <c r="A207" i="22"/>
  <c r="A208" i="22"/>
  <c r="A209" i="22"/>
  <c r="A210" i="22"/>
  <c r="A211" i="22"/>
  <c r="A212" i="22"/>
  <c r="A213" i="22"/>
  <c r="A215" i="22"/>
  <c r="A216" i="22"/>
  <c r="A217" i="22"/>
  <c r="A218" i="22"/>
  <c r="A220" i="22"/>
  <c r="A221" i="22"/>
  <c r="A222" i="22"/>
  <c r="A223" i="22"/>
  <c r="A224" i="22"/>
  <c r="A225" i="22"/>
  <c r="A128" i="22"/>
  <c r="A129" i="22"/>
  <c r="A130" i="22"/>
  <c r="A131" i="22"/>
  <c r="A132" i="22"/>
  <c r="A133" i="22"/>
  <c r="A134" i="22"/>
  <c r="A135" i="22"/>
  <c r="A136" i="22"/>
  <c r="A137" i="22"/>
  <c r="A138" i="22"/>
  <c r="A139" i="22"/>
  <c r="A140" i="22"/>
  <c r="A141" i="22"/>
  <c r="A142" i="22"/>
  <c r="A143" i="22"/>
  <c r="A144" i="22"/>
  <c r="A145" i="22"/>
  <c r="A147" i="22"/>
  <c r="A148" i="22"/>
  <c r="A149" i="22"/>
  <c r="A150" i="22"/>
  <c r="A151" i="22"/>
  <c r="A152" i="22"/>
  <c r="A153" i="22"/>
  <c r="A154" i="22"/>
  <c r="A155" i="22"/>
  <c r="A156" i="22"/>
  <c r="A157" i="22"/>
  <c r="A158" i="22"/>
  <c r="A159" i="22"/>
  <c r="A160" i="22"/>
  <c r="A161" i="22"/>
  <c r="A162" i="22"/>
  <c r="A163" i="22"/>
  <c r="A164" i="22"/>
  <c r="A165" i="22"/>
  <c r="A166" i="22"/>
  <c r="A167" i="22"/>
  <c r="A168" i="22"/>
  <c r="A169" i="22"/>
  <c r="A126" i="22"/>
  <c r="A125" i="22"/>
  <c r="A124" i="22"/>
  <c r="A123" i="22"/>
  <c r="A122" i="22"/>
  <c r="A121" i="22"/>
  <c r="A120" i="22"/>
  <c r="A119" i="22"/>
  <c r="A118" i="22"/>
  <c r="A117" i="22"/>
  <c r="A116" i="22"/>
  <c r="A115" i="22"/>
  <c r="A114" i="22"/>
  <c r="A113" i="22"/>
  <c r="A112" i="22"/>
  <c r="A110" i="22"/>
  <c r="A109" i="22"/>
  <c r="A108" i="22"/>
  <c r="A107" i="22"/>
  <c r="A106" i="22"/>
  <c r="A105" i="22"/>
  <c r="A104" i="22"/>
  <c r="A103" i="22"/>
  <c r="A102" i="22"/>
  <c r="A101" i="22"/>
  <c r="A100" i="22"/>
  <c r="A99" i="22"/>
  <c r="A98" i="22"/>
  <c r="A97" i="22"/>
  <c r="A96" i="22"/>
  <c r="A95" i="22"/>
  <c r="A93" i="22"/>
  <c r="A92" i="22"/>
  <c r="A91" i="22"/>
  <c r="A90" i="22"/>
  <c r="A89" i="22"/>
  <c r="A87" i="22"/>
  <c r="A86" i="22"/>
  <c r="A85" i="22"/>
  <c r="A84" i="22"/>
  <c r="A83" i="22"/>
  <c r="A82" i="22"/>
  <c r="A81" i="22"/>
  <c r="B22" i="22"/>
  <c r="G22" i="22" s="1"/>
  <c r="B23" i="22"/>
  <c r="G23" i="22" s="1"/>
  <c r="B24" i="22"/>
  <c r="G24" i="22" s="1"/>
  <c r="B25" i="22"/>
  <c r="G25" i="22" s="1"/>
  <c r="B26" i="22"/>
  <c r="G26" i="22" s="1"/>
  <c r="B27" i="22"/>
  <c r="G27" i="22" s="1"/>
  <c r="B28" i="22"/>
  <c r="G28" i="22" s="1"/>
  <c r="B29" i="22"/>
  <c r="G29" i="22" s="1"/>
  <c r="B30" i="22"/>
  <c r="G30" i="22" s="1"/>
  <c r="B31" i="22"/>
  <c r="G31" i="22" s="1"/>
  <c r="B32" i="22"/>
  <c r="G32" i="22" s="1"/>
  <c r="B33" i="22"/>
  <c r="G33" i="22" s="1"/>
  <c r="B34" i="22"/>
  <c r="G34" i="22" s="1"/>
  <c r="B35" i="22"/>
  <c r="G35" i="22" s="1"/>
  <c r="B36" i="22"/>
  <c r="G36" i="22" s="1"/>
  <c r="B21" i="22"/>
  <c r="G21" i="22" s="1"/>
  <c r="A56" i="22"/>
  <c r="A57" i="22"/>
  <c r="A58" i="22"/>
  <c r="A59" i="22"/>
  <c r="A60" i="22"/>
  <c r="A61" i="22"/>
  <c r="A62" i="22"/>
  <c r="A63" i="22"/>
  <c r="A64" i="22"/>
  <c r="A66" i="22"/>
  <c r="A67" i="22"/>
  <c r="A68" i="22"/>
  <c r="A69" i="22"/>
  <c r="A70" i="22"/>
  <c r="I70" i="22" s="1"/>
  <c r="A72" i="22"/>
  <c r="A73" i="22"/>
  <c r="A74" i="22"/>
  <c r="A75" i="22"/>
  <c r="A76" i="22"/>
  <c r="A77" i="22"/>
  <c r="G39" i="22"/>
  <c r="B52" i="14"/>
  <c r="A4" i="20"/>
  <c r="A5" i="20"/>
  <c r="A6" i="20"/>
  <c r="A7" i="20"/>
  <c r="A8" i="20"/>
  <c r="A9" i="20"/>
  <c r="A10" i="20"/>
  <c r="A11" i="20"/>
  <c r="A12" i="20"/>
  <c r="A13" i="20"/>
  <c r="A14" i="20"/>
  <c r="A15" i="20"/>
  <c r="A16" i="20"/>
  <c r="A17" i="20"/>
  <c r="A18" i="20"/>
  <c r="A19" i="20"/>
  <c r="A20" i="20"/>
  <c r="A21" i="20"/>
  <c r="A22" i="20"/>
  <c r="A23"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52" i="20"/>
  <c r="A53" i="20"/>
  <c r="A54" i="20"/>
  <c r="A55" i="20"/>
  <c r="A56" i="20"/>
  <c r="A57" i="20"/>
  <c r="A58" i="20"/>
  <c r="A59" i="20"/>
  <c r="A60" i="20"/>
  <c r="A61" i="20"/>
  <c r="A62" i="20"/>
  <c r="A63" i="20"/>
  <c r="A64" i="20"/>
  <c r="A65"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A96" i="20"/>
  <c r="A97" i="20"/>
  <c r="A98" i="20"/>
  <c r="A99" i="20"/>
  <c r="A100" i="20"/>
  <c r="A101" i="20"/>
  <c r="A102" i="20"/>
  <c r="A103" i="20"/>
  <c r="A104" i="20"/>
  <c r="A105" i="20"/>
  <c r="A106" i="20"/>
  <c r="A107" i="20"/>
  <c r="A108" i="20"/>
  <c r="A109" i="20"/>
  <c r="A110" i="20"/>
  <c r="A111" i="20"/>
  <c r="A112" i="20"/>
  <c r="A113" i="20"/>
  <c r="A114" i="20"/>
  <c r="A115" i="20"/>
  <c r="A116" i="20"/>
  <c r="A117" i="20"/>
  <c r="A118" i="20"/>
  <c r="A119" i="20"/>
  <c r="A120" i="20"/>
  <c r="A121" i="20"/>
  <c r="A122" i="20"/>
  <c r="A123" i="20"/>
  <c r="A124" i="20"/>
  <c r="A125" i="20"/>
  <c r="A126" i="20"/>
  <c r="A127" i="20"/>
  <c r="A128" i="20"/>
  <c r="A129" i="20"/>
  <c r="A130" i="20"/>
  <c r="A131" i="20"/>
  <c r="A132" i="20"/>
  <c r="A133" i="20"/>
  <c r="A134" i="20"/>
  <c r="A135" i="20"/>
  <c r="A136" i="20"/>
  <c r="A137" i="20"/>
  <c r="A138" i="20"/>
  <c r="A139" i="20"/>
  <c r="A140" i="20"/>
  <c r="A141" i="20"/>
  <c r="A142" i="20"/>
  <c r="A143" i="20"/>
  <c r="A144" i="20"/>
  <c r="A145" i="20"/>
  <c r="A146" i="20"/>
  <c r="A147" i="20"/>
  <c r="A148" i="20"/>
  <c r="A149" i="20"/>
  <c r="A150" i="20"/>
  <c r="A151" i="20"/>
  <c r="A152" i="20"/>
  <c r="A153" i="20"/>
  <c r="A154"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A178" i="20"/>
  <c r="A179" i="20"/>
  <c r="A180" i="20"/>
  <c r="A181" i="20"/>
  <c r="A182" i="20"/>
  <c r="A183" i="20"/>
  <c r="A184" i="20"/>
  <c r="A185" i="20"/>
  <c r="A186" i="20"/>
  <c r="A187" i="20"/>
  <c r="A188" i="20"/>
  <c r="A189" i="20"/>
  <c r="A190" i="20"/>
  <c r="A191" i="20"/>
  <c r="A192" i="20"/>
  <c r="A193" i="20"/>
  <c r="A194" i="20"/>
  <c r="A195" i="20"/>
  <c r="A196" i="20"/>
  <c r="A19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A223" i="20"/>
  <c r="A224" i="20"/>
  <c r="A225" i="20"/>
  <c r="A226" i="20"/>
  <c r="A227" i="20"/>
  <c r="A228" i="20"/>
  <c r="A229" i="20"/>
  <c r="A230" i="20"/>
  <c r="A231" i="20"/>
  <c r="A232" i="20"/>
  <c r="A233" i="20"/>
  <c r="A234" i="20"/>
  <c r="A235" i="20"/>
  <c r="A236" i="20"/>
  <c r="A237" i="20"/>
  <c r="A238" i="20"/>
  <c r="M238" i="20" s="1"/>
  <c r="A239" i="20"/>
  <c r="M239" i="20" s="1"/>
  <c r="A240" i="20"/>
  <c r="M240" i="20" s="1"/>
  <c r="A241" i="20"/>
  <c r="M241" i="20" s="1"/>
  <c r="A242" i="20"/>
  <c r="M242" i="20" s="1"/>
  <c r="A243" i="20"/>
  <c r="M243" i="20" s="1"/>
  <c r="A244" i="20"/>
  <c r="M244" i="20" s="1"/>
  <c r="A245" i="20"/>
  <c r="M245" i="20" s="1"/>
  <c r="A246" i="20"/>
  <c r="M246" i="20" s="1"/>
  <c r="A247" i="20"/>
  <c r="M247" i="20" s="1"/>
  <c r="A248" i="20"/>
  <c r="M248" i="20" s="1"/>
  <c r="A249" i="20"/>
  <c r="M249" i="20" s="1"/>
  <c r="A250" i="20"/>
  <c r="M250" i="20" s="1"/>
  <c r="A251" i="20"/>
  <c r="M251" i="20" s="1"/>
  <c r="A252" i="20"/>
  <c r="M252" i="20" s="1"/>
  <c r="A253" i="20"/>
  <c r="M253" i="20" s="1"/>
  <c r="A254" i="20"/>
  <c r="M254" i="20" s="1"/>
  <c r="A255" i="20"/>
  <c r="M255" i="20" s="1"/>
  <c r="A256" i="20"/>
  <c r="M256" i="20" s="1"/>
  <c r="A257" i="20"/>
  <c r="M257" i="20" s="1"/>
  <c r="A258" i="20"/>
  <c r="M258" i="20" s="1"/>
  <c r="A259" i="20"/>
  <c r="M259" i="20" s="1"/>
  <c r="A260" i="20"/>
  <c r="M260" i="20" s="1"/>
  <c r="A261" i="20"/>
  <c r="M261" i="20" s="1"/>
  <c r="A262" i="20"/>
  <c r="M262" i="20" s="1"/>
  <c r="A263" i="20"/>
  <c r="M263" i="20" s="1"/>
  <c r="A264" i="20"/>
  <c r="M264" i="20" s="1"/>
  <c r="A265" i="20"/>
  <c r="M265" i="20" s="1"/>
  <c r="A266" i="20"/>
  <c r="M266" i="20" s="1"/>
  <c r="A267" i="20"/>
  <c r="M267" i="20" s="1"/>
  <c r="A268" i="20"/>
  <c r="M268" i="20" s="1"/>
  <c r="A269" i="20"/>
  <c r="M269" i="20" s="1"/>
  <c r="A270" i="20"/>
  <c r="M270" i="20" s="1"/>
  <c r="A271" i="20"/>
  <c r="M271" i="20" s="1"/>
  <c r="A272" i="20"/>
  <c r="M272" i="20" s="1"/>
  <c r="A273" i="20"/>
  <c r="M273" i="20" s="1"/>
  <c r="A274" i="20"/>
  <c r="M274" i="20" s="1"/>
  <c r="A275" i="20"/>
  <c r="M275" i="20" s="1"/>
  <c r="A276" i="20"/>
  <c r="M276" i="20" s="1"/>
  <c r="A277" i="20"/>
  <c r="M277" i="20" s="1"/>
  <c r="A278" i="20"/>
  <c r="M278" i="20" s="1"/>
  <c r="A279" i="20"/>
  <c r="M279" i="20" s="1"/>
  <c r="A280" i="20"/>
  <c r="M280" i="20" s="1"/>
  <c r="A281" i="20"/>
  <c r="M281" i="20" s="1"/>
  <c r="A282" i="20"/>
  <c r="M282" i="20" s="1"/>
  <c r="A283" i="20"/>
  <c r="M283" i="20" s="1"/>
  <c r="A284" i="20"/>
  <c r="M284" i="20" s="1"/>
  <c r="A285" i="20"/>
  <c r="M285" i="20" s="1"/>
  <c r="A286" i="20"/>
  <c r="M286" i="20" s="1"/>
  <c r="A287" i="20"/>
  <c r="M287" i="20" s="1"/>
  <c r="A288" i="20"/>
  <c r="M288" i="20" s="1"/>
  <c r="A289" i="20"/>
  <c r="M289" i="20" s="1"/>
  <c r="A290" i="20"/>
  <c r="M290" i="20" s="1"/>
  <c r="A291" i="20"/>
  <c r="M291" i="20" s="1"/>
  <c r="A292" i="20"/>
  <c r="M292" i="20" s="1"/>
  <c r="A293" i="20"/>
  <c r="M293" i="20" s="1"/>
  <c r="A294" i="20"/>
  <c r="M294" i="20" s="1"/>
  <c r="A295" i="20"/>
  <c r="M295" i="20" s="1"/>
  <c r="A296" i="20"/>
  <c r="M296" i="20" s="1"/>
  <c r="A297" i="20"/>
  <c r="M297" i="20" s="1"/>
  <c r="A298" i="20"/>
  <c r="M298" i="20" s="1"/>
  <c r="A299" i="20"/>
  <c r="M299" i="20" s="1"/>
  <c r="A300" i="20"/>
  <c r="M300" i="20" s="1"/>
  <c r="A301" i="20"/>
  <c r="M301" i="20" s="1"/>
  <c r="A302" i="20"/>
  <c r="M302" i="20" s="1"/>
  <c r="A303" i="20"/>
  <c r="A304" i="20"/>
  <c r="A305" i="20"/>
  <c r="A306" i="20"/>
  <c r="A307" i="20"/>
  <c r="A308" i="20"/>
  <c r="A309" i="20"/>
  <c r="A310" i="20"/>
  <c r="A311" i="20"/>
  <c r="A312" i="20"/>
  <c r="A313" i="20"/>
  <c r="A314" i="20"/>
  <c r="A315" i="20"/>
  <c r="A316" i="20"/>
  <c r="A317" i="20"/>
  <c r="A318" i="20"/>
  <c r="A319" i="20"/>
  <c r="A320" i="20"/>
  <c r="A321" i="20"/>
  <c r="A322" i="20"/>
  <c r="A323" i="20"/>
  <c r="A324" i="20"/>
  <c r="A325" i="20"/>
  <c r="A326" i="20"/>
  <c r="A327" i="20"/>
  <c r="A328" i="20"/>
  <c r="A329" i="20"/>
  <c r="A330" i="20"/>
  <c r="A331" i="20"/>
  <c r="A332" i="20"/>
  <c r="A333" i="20"/>
  <c r="A3" i="20"/>
  <c r="A89" i="14"/>
  <c r="A73" i="14"/>
  <c r="A67" i="14"/>
  <c r="A53" i="14"/>
  <c r="A44" i="14"/>
  <c r="A41" i="14"/>
  <c r="A38" i="14"/>
  <c r="A34" i="14"/>
  <c r="A29" i="14"/>
  <c r="A23" i="14"/>
  <c r="A18" i="14"/>
  <c r="A12" i="14"/>
  <c r="A49" i="13"/>
  <c r="A40" i="13"/>
  <c r="A34" i="13"/>
  <c r="A28" i="13"/>
  <c r="A22" i="13"/>
  <c r="A19" i="13"/>
  <c r="A17" i="13"/>
  <c r="A12" i="13"/>
  <c r="A75" i="12"/>
  <c r="A62" i="12"/>
  <c r="A32" i="12"/>
  <c r="A22" i="12"/>
  <c r="A17" i="12"/>
  <c r="A12" i="12"/>
  <c r="A19" i="11"/>
  <c r="A17" i="11"/>
  <c r="A12" i="11"/>
  <c r="A68" i="10"/>
  <c r="A63" i="10"/>
  <c r="A51" i="10"/>
  <c r="A34" i="10"/>
  <c r="A19" i="10"/>
  <c r="A17" i="10"/>
  <c r="A12" i="10"/>
  <c r="A38" i="9"/>
  <c r="A19" i="9"/>
  <c r="A17" i="9"/>
  <c r="A12" i="9"/>
  <c r="A52" i="8"/>
  <c r="A35" i="8"/>
  <c r="A29" i="8"/>
  <c r="A21" i="8"/>
  <c r="A12" i="8"/>
  <c r="A28" i="4"/>
  <c r="A22" i="4"/>
  <c r="A12" i="4"/>
  <c r="D78" i="22" l="1"/>
  <c r="E78" i="22"/>
  <c r="E79" i="22"/>
  <c r="D79" i="22"/>
  <c r="P24" i="20"/>
  <c r="M11" i="20"/>
  <c r="Q11" i="20" s="1"/>
  <c r="M10" i="20"/>
  <c r="Q10" i="20" s="1"/>
  <c r="M9" i="20"/>
  <c r="Q9" i="20" s="1"/>
  <c r="M8" i="20"/>
  <c r="Q8" i="20" s="1"/>
  <c r="I308" i="22"/>
  <c r="G308" i="22"/>
  <c r="G130" i="22"/>
  <c r="I130" i="22"/>
  <c r="I137" i="22"/>
  <c r="G137" i="22"/>
  <c r="G247" i="22"/>
  <c r="I247" i="22"/>
  <c r="D58" i="22"/>
  <c r="E58" i="22"/>
  <c r="I58" i="22"/>
  <c r="I5" i="20" s="1"/>
  <c r="K5" i="20" s="1"/>
  <c r="G58" i="22"/>
  <c r="G5" i="20" s="1"/>
  <c r="I230" i="22"/>
  <c r="G230" i="22"/>
  <c r="G183" i="22"/>
  <c r="I183" i="22"/>
  <c r="A127" i="22"/>
  <c r="I128" i="22"/>
  <c r="G128" i="22"/>
  <c r="I288" i="22"/>
  <c r="G288" i="22"/>
  <c r="I287" i="22"/>
  <c r="G287" i="22"/>
  <c r="I280" i="22"/>
  <c r="G280" i="22"/>
  <c r="I150" i="22"/>
  <c r="G150" i="22"/>
  <c r="G205" i="22"/>
  <c r="I205" i="22"/>
  <c r="I301" i="22"/>
  <c r="G301" i="22"/>
  <c r="G279" i="22"/>
  <c r="I279" i="22"/>
  <c r="I229" i="22"/>
  <c r="G229" i="22"/>
  <c r="I149" i="22"/>
  <c r="G149" i="22"/>
  <c r="I182" i="22"/>
  <c r="G182" i="22"/>
  <c r="G300" i="22"/>
  <c r="I300" i="22"/>
  <c r="I278" i="22"/>
  <c r="G278" i="22"/>
  <c r="I258" i="22"/>
  <c r="G258" i="22"/>
  <c r="G77" i="22"/>
  <c r="I77" i="22"/>
  <c r="I168" i="22"/>
  <c r="G168" i="22"/>
  <c r="I148" i="22"/>
  <c r="G148" i="22"/>
  <c r="I225" i="22"/>
  <c r="G225" i="22"/>
  <c r="G203" i="22"/>
  <c r="I203" i="22"/>
  <c r="I181" i="22"/>
  <c r="G181" i="22"/>
  <c r="I299" i="22"/>
  <c r="G299" i="22"/>
  <c r="I277" i="22"/>
  <c r="G277" i="22"/>
  <c r="I257" i="22"/>
  <c r="G257" i="22"/>
  <c r="A226" i="22"/>
  <c r="G227" i="22"/>
  <c r="I227" i="22"/>
  <c r="I76" i="22"/>
  <c r="G76" i="22"/>
  <c r="I167" i="22"/>
  <c r="G167" i="22"/>
  <c r="I147" i="22"/>
  <c r="G147" i="22"/>
  <c r="I224" i="22"/>
  <c r="G224" i="22"/>
  <c r="I201" i="22"/>
  <c r="G201" i="22"/>
  <c r="E201" i="22"/>
  <c r="D201" i="22"/>
  <c r="I180" i="22"/>
  <c r="G180" i="22"/>
  <c r="I297" i="22"/>
  <c r="G297" i="22"/>
  <c r="I276" i="22"/>
  <c r="G276" i="22"/>
  <c r="I256" i="22"/>
  <c r="G256" i="22"/>
  <c r="G67" i="22"/>
  <c r="I67" i="22"/>
  <c r="G213" i="22"/>
  <c r="I213" i="22"/>
  <c r="A245" i="22"/>
  <c r="I246" i="22"/>
  <c r="G246" i="22"/>
  <c r="I260" i="22"/>
  <c r="G260" i="22"/>
  <c r="D57" i="22"/>
  <c r="I57" i="22"/>
  <c r="I4" i="20" s="1"/>
  <c r="K4" i="20" s="1"/>
  <c r="G57" i="22"/>
  <c r="G4" i="20" s="1"/>
  <c r="E57" i="22"/>
  <c r="I204" i="22"/>
  <c r="G204" i="22"/>
  <c r="G228" i="22"/>
  <c r="I228" i="22"/>
  <c r="I75" i="22"/>
  <c r="G75" i="22"/>
  <c r="G166" i="22"/>
  <c r="I166" i="22"/>
  <c r="G145" i="22"/>
  <c r="I145" i="22"/>
  <c r="I223" i="22"/>
  <c r="G223" i="22"/>
  <c r="I200" i="22"/>
  <c r="G200" i="22"/>
  <c r="E200" i="22"/>
  <c r="D200" i="22"/>
  <c r="I179" i="22"/>
  <c r="G179" i="22"/>
  <c r="I296" i="22"/>
  <c r="G296" i="22"/>
  <c r="I275" i="22"/>
  <c r="G275" i="22"/>
  <c r="I254" i="22"/>
  <c r="G254" i="22"/>
  <c r="A214" i="22"/>
  <c r="I215" i="22"/>
  <c r="G215" i="22"/>
  <c r="I157" i="22"/>
  <c r="G157" i="22"/>
  <c r="I151" i="22"/>
  <c r="G151" i="22"/>
  <c r="I206" i="22"/>
  <c r="G206" i="22"/>
  <c r="G302" i="22"/>
  <c r="I302" i="22"/>
  <c r="I129" i="22"/>
  <c r="G129" i="22"/>
  <c r="G259" i="22"/>
  <c r="I259" i="22"/>
  <c r="D56" i="22"/>
  <c r="E56" i="22"/>
  <c r="I56" i="22"/>
  <c r="I3" i="20" s="1"/>
  <c r="K3" i="20" s="1"/>
  <c r="G56" i="22"/>
  <c r="G3" i="20" s="1"/>
  <c r="I169" i="22"/>
  <c r="G169" i="22"/>
  <c r="G74" i="22"/>
  <c r="I74" i="22"/>
  <c r="G165" i="22"/>
  <c r="I165" i="22"/>
  <c r="G144" i="22"/>
  <c r="I144" i="22"/>
  <c r="I222" i="22"/>
  <c r="G222" i="22"/>
  <c r="I199" i="22"/>
  <c r="G199" i="22"/>
  <c r="E199" i="22"/>
  <c r="D199" i="22"/>
  <c r="I178" i="22"/>
  <c r="G178" i="22"/>
  <c r="G295" i="22"/>
  <c r="I295" i="22"/>
  <c r="I274" i="22"/>
  <c r="G274" i="22"/>
  <c r="I253" i="22"/>
  <c r="G253" i="22"/>
  <c r="I244" i="22"/>
  <c r="G244" i="22"/>
  <c r="I243" i="22"/>
  <c r="G243" i="22"/>
  <c r="G267" i="22"/>
  <c r="I267" i="22"/>
  <c r="A170" i="22"/>
  <c r="G171" i="22"/>
  <c r="I171" i="22"/>
  <c r="I136" i="22"/>
  <c r="G136" i="22"/>
  <c r="I184" i="22"/>
  <c r="G184" i="22"/>
  <c r="G294" i="22"/>
  <c r="I294" i="22"/>
  <c r="G70" i="22"/>
  <c r="G162" i="22"/>
  <c r="I162" i="22"/>
  <c r="G141" i="22"/>
  <c r="I141" i="22"/>
  <c r="I175" i="22"/>
  <c r="G175" i="22"/>
  <c r="I292" i="22"/>
  <c r="G292" i="22"/>
  <c r="I271" i="22"/>
  <c r="G271" i="22"/>
  <c r="I250" i="22"/>
  <c r="G250" i="22"/>
  <c r="G241" i="22"/>
  <c r="I241" i="22"/>
  <c r="D64" i="22"/>
  <c r="E64" i="22"/>
  <c r="G64" i="22"/>
  <c r="G11" i="20" s="1"/>
  <c r="I64" i="22"/>
  <c r="I11" i="20" s="1"/>
  <c r="K11" i="20" s="1"/>
  <c r="I266" i="22"/>
  <c r="G266" i="22"/>
  <c r="D63" i="22"/>
  <c r="E63" i="22"/>
  <c r="I63" i="22"/>
  <c r="I10" i="20" s="1"/>
  <c r="K10" i="20" s="1"/>
  <c r="G63" i="22"/>
  <c r="G10" i="20" s="1"/>
  <c r="G73" i="22"/>
  <c r="I73" i="22"/>
  <c r="I143" i="22"/>
  <c r="G143" i="22"/>
  <c r="G198" i="22"/>
  <c r="I198" i="22"/>
  <c r="E198" i="22"/>
  <c r="D198" i="22"/>
  <c r="G177" i="22"/>
  <c r="I177" i="22"/>
  <c r="G273" i="22"/>
  <c r="I273" i="22"/>
  <c r="G252" i="22"/>
  <c r="I252" i="22"/>
  <c r="I72" i="22"/>
  <c r="G72" i="22"/>
  <c r="G142" i="22"/>
  <c r="I142" i="22"/>
  <c r="G220" i="22"/>
  <c r="I220" i="22"/>
  <c r="I197" i="22"/>
  <c r="G197" i="22"/>
  <c r="E197" i="22"/>
  <c r="D197" i="22"/>
  <c r="I293" i="22"/>
  <c r="G293" i="22"/>
  <c r="I218" i="22"/>
  <c r="G218" i="22"/>
  <c r="M3" i="20"/>
  <c r="Q3" i="20" s="1"/>
  <c r="I69" i="22"/>
  <c r="G69" i="22"/>
  <c r="G161" i="22"/>
  <c r="I161" i="22"/>
  <c r="I140" i="22"/>
  <c r="G140" i="22"/>
  <c r="I217" i="22"/>
  <c r="G217" i="22"/>
  <c r="I195" i="22"/>
  <c r="G195" i="22"/>
  <c r="E195" i="22"/>
  <c r="D195" i="22"/>
  <c r="I174" i="22"/>
  <c r="G174" i="22"/>
  <c r="G291" i="22"/>
  <c r="I291" i="22"/>
  <c r="I270" i="22"/>
  <c r="G270" i="22"/>
  <c r="I249" i="22"/>
  <c r="G249" i="22"/>
  <c r="I240" i="22"/>
  <c r="G240" i="22"/>
  <c r="I158" i="22"/>
  <c r="G158" i="22"/>
  <c r="I212" i="22"/>
  <c r="G212" i="22"/>
  <c r="I164" i="22"/>
  <c r="G164" i="22"/>
  <c r="G221" i="22"/>
  <c r="I221" i="22"/>
  <c r="I163" i="22"/>
  <c r="G163" i="22"/>
  <c r="G176" i="22"/>
  <c r="I176" i="22"/>
  <c r="G272" i="22"/>
  <c r="I272" i="22"/>
  <c r="G251" i="22"/>
  <c r="I251" i="22"/>
  <c r="G242" i="22"/>
  <c r="I242" i="22"/>
  <c r="I196" i="22"/>
  <c r="G196" i="22"/>
  <c r="E196" i="22"/>
  <c r="D196" i="22"/>
  <c r="I68" i="22"/>
  <c r="G68" i="22"/>
  <c r="I160" i="22"/>
  <c r="G160" i="22"/>
  <c r="I139" i="22"/>
  <c r="G139" i="22"/>
  <c r="G216" i="22"/>
  <c r="I216" i="22"/>
  <c r="G194" i="22"/>
  <c r="I194" i="22"/>
  <c r="E194" i="22"/>
  <c r="D194" i="22"/>
  <c r="G173" i="22"/>
  <c r="I173" i="22"/>
  <c r="G290" i="22"/>
  <c r="I290" i="22"/>
  <c r="G269" i="22"/>
  <c r="I269" i="22"/>
  <c r="I239" i="22"/>
  <c r="G239" i="22"/>
  <c r="G193" i="22"/>
  <c r="I193" i="22"/>
  <c r="E193" i="22"/>
  <c r="D193" i="22"/>
  <c r="I172" i="22"/>
  <c r="G172" i="22"/>
  <c r="I289" i="22"/>
  <c r="G289" i="22"/>
  <c r="G268" i="22"/>
  <c r="I268" i="22"/>
  <c r="I248" i="22"/>
  <c r="G248" i="22"/>
  <c r="G238" i="22"/>
  <c r="I238" i="22"/>
  <c r="G192" i="22"/>
  <c r="I192" i="22"/>
  <c r="E192" i="22"/>
  <c r="D192" i="22"/>
  <c r="G237" i="22"/>
  <c r="I237" i="22"/>
  <c r="I138" i="22"/>
  <c r="G138" i="22"/>
  <c r="G236" i="22"/>
  <c r="I236" i="22"/>
  <c r="G156" i="22"/>
  <c r="I156" i="22"/>
  <c r="I211" i="22"/>
  <c r="G211" i="22"/>
  <c r="I190" i="22"/>
  <c r="G190" i="22"/>
  <c r="E190" i="22"/>
  <c r="D190" i="22"/>
  <c r="I307" i="22"/>
  <c r="G307" i="22"/>
  <c r="G286" i="22"/>
  <c r="I286" i="22"/>
  <c r="I265" i="22"/>
  <c r="G265" i="22"/>
  <c r="I235" i="22"/>
  <c r="G235" i="22"/>
  <c r="I159" i="22"/>
  <c r="G159" i="22"/>
  <c r="I210" i="22"/>
  <c r="G210" i="22"/>
  <c r="D62" i="22"/>
  <c r="I62" i="22"/>
  <c r="I9" i="20" s="1"/>
  <c r="K9" i="20" s="1"/>
  <c r="G62" i="22"/>
  <c r="G9" i="20" s="1"/>
  <c r="E62" i="22"/>
  <c r="I154" i="22"/>
  <c r="G154" i="22"/>
  <c r="I133" i="22"/>
  <c r="G133" i="22"/>
  <c r="G209" i="22"/>
  <c r="I209" i="22"/>
  <c r="G188" i="22"/>
  <c r="I188" i="22"/>
  <c r="E188" i="22"/>
  <c r="D188" i="22"/>
  <c r="G305" i="22"/>
  <c r="I305" i="22"/>
  <c r="I283" i="22"/>
  <c r="G283" i="22"/>
  <c r="G263" i="22"/>
  <c r="I263" i="22"/>
  <c r="I233" i="22"/>
  <c r="G233" i="22"/>
  <c r="I191" i="22"/>
  <c r="G191" i="22"/>
  <c r="E191" i="22"/>
  <c r="D191" i="22"/>
  <c r="G135" i="22"/>
  <c r="I135" i="22"/>
  <c r="M7" i="20"/>
  <c r="Q7" i="20" s="1"/>
  <c r="D60" i="22"/>
  <c r="I60" i="22"/>
  <c r="I7" i="20" s="1"/>
  <c r="K7" i="20" s="1"/>
  <c r="E60" i="22"/>
  <c r="G60" i="22"/>
  <c r="G7" i="20" s="1"/>
  <c r="G232" i="22"/>
  <c r="I232" i="22"/>
  <c r="G66" i="22"/>
  <c r="I66" i="22"/>
  <c r="I155" i="22"/>
  <c r="G155" i="22"/>
  <c r="I134" i="22"/>
  <c r="G134" i="22"/>
  <c r="I189" i="22"/>
  <c r="G189" i="22"/>
  <c r="E189" i="22"/>
  <c r="D189" i="22"/>
  <c r="G306" i="22"/>
  <c r="I306" i="22"/>
  <c r="I284" i="22"/>
  <c r="G284" i="22"/>
  <c r="I264" i="22"/>
  <c r="G264" i="22"/>
  <c r="I234" i="22"/>
  <c r="G234" i="22"/>
  <c r="M6" i="20"/>
  <c r="Q6" i="20" s="1"/>
  <c r="D61" i="22"/>
  <c r="E61" i="22"/>
  <c r="I61" i="22"/>
  <c r="I8" i="20" s="1"/>
  <c r="K8" i="20" s="1"/>
  <c r="G61" i="22"/>
  <c r="G8" i="20" s="1"/>
  <c r="M5" i="20"/>
  <c r="Q5" i="20" s="1"/>
  <c r="I153" i="22"/>
  <c r="G153" i="22"/>
  <c r="I132" i="22"/>
  <c r="G132" i="22"/>
  <c r="G208" i="22"/>
  <c r="I208" i="22"/>
  <c r="G187" i="22"/>
  <c r="I187" i="22"/>
  <c r="E187" i="22"/>
  <c r="D187" i="22"/>
  <c r="I304" i="22"/>
  <c r="G304" i="22"/>
  <c r="I282" i="22"/>
  <c r="G282" i="22"/>
  <c r="G262" i="22"/>
  <c r="I262" i="22"/>
  <c r="M4" i="20"/>
  <c r="Q4" i="20" s="1"/>
  <c r="D59" i="22"/>
  <c r="G59" i="22"/>
  <c r="G6" i="20" s="1"/>
  <c r="I59" i="22"/>
  <c r="I6" i="20" s="1"/>
  <c r="K6" i="20" s="1"/>
  <c r="E59" i="22"/>
  <c r="G152" i="22"/>
  <c r="I152" i="22"/>
  <c r="G131" i="22"/>
  <c r="I131" i="22"/>
  <c r="I207" i="22"/>
  <c r="G207" i="22"/>
  <c r="I186" i="22"/>
  <c r="G186" i="22"/>
  <c r="E186" i="22"/>
  <c r="D186" i="22"/>
  <c r="I303" i="22"/>
  <c r="G303" i="22"/>
  <c r="I281" i="22"/>
  <c r="G281" i="22"/>
  <c r="I261" i="22"/>
  <c r="G261" i="22"/>
  <c r="G231" i="22"/>
  <c r="I231" i="22"/>
  <c r="D110" i="25"/>
  <c r="D58" i="25"/>
  <c r="D101" i="25"/>
  <c r="D109" i="25"/>
  <c r="D106" i="25"/>
  <c r="D99" i="25"/>
  <c r="D102" i="25"/>
  <c r="D84" i="25"/>
  <c r="D108" i="25"/>
  <c r="D103" i="25"/>
  <c r="D95" i="25"/>
  <c r="D104" i="25"/>
  <c r="D100" i="25"/>
  <c r="D105" i="25"/>
  <c r="D107" i="25"/>
  <c r="I81" i="22"/>
  <c r="G81" i="22"/>
  <c r="E81" i="22"/>
  <c r="D81" i="22"/>
  <c r="I103" i="22"/>
  <c r="G103" i="22"/>
  <c r="I124" i="22"/>
  <c r="G124" i="22"/>
  <c r="I83" i="22"/>
  <c r="G83" i="22"/>
  <c r="I84" i="22"/>
  <c r="G84" i="22"/>
  <c r="I106" i="22"/>
  <c r="G106" i="22"/>
  <c r="G85" i="22"/>
  <c r="I85" i="22"/>
  <c r="G107" i="22"/>
  <c r="I107" i="22"/>
  <c r="I86" i="22"/>
  <c r="G86" i="22"/>
  <c r="I108" i="22"/>
  <c r="G108" i="22"/>
  <c r="I87" i="22"/>
  <c r="G87" i="22"/>
  <c r="I109" i="22"/>
  <c r="G109" i="22"/>
  <c r="I89" i="22"/>
  <c r="G89" i="22"/>
  <c r="I110" i="22"/>
  <c r="G110" i="22"/>
  <c r="G90" i="22"/>
  <c r="I90" i="22"/>
  <c r="G112" i="22"/>
  <c r="I112" i="22"/>
  <c r="D126" i="22"/>
  <c r="I126" i="22"/>
  <c r="G126" i="22"/>
  <c r="I91" i="22"/>
  <c r="G91" i="22"/>
  <c r="I113" i="22"/>
  <c r="G113" i="22"/>
  <c r="I105" i="22"/>
  <c r="G105" i="22"/>
  <c r="I92" i="22"/>
  <c r="G92" i="22"/>
  <c r="I114" i="22"/>
  <c r="G114" i="22"/>
  <c r="I82" i="22"/>
  <c r="G82" i="22"/>
  <c r="I93" i="22"/>
  <c r="G93" i="22"/>
  <c r="I115" i="22"/>
  <c r="G115" i="22"/>
  <c r="I95" i="22"/>
  <c r="G95" i="22"/>
  <c r="I116" i="22"/>
  <c r="G116" i="22"/>
  <c r="D96" i="22"/>
  <c r="I96" i="22"/>
  <c r="G96" i="22"/>
  <c r="I117" i="22"/>
  <c r="G117" i="22"/>
  <c r="G97" i="22"/>
  <c r="D97" i="22"/>
  <c r="I97" i="22"/>
  <c r="I118" i="22"/>
  <c r="G118" i="22"/>
  <c r="I98" i="22"/>
  <c r="G98" i="22"/>
  <c r="I119" i="22"/>
  <c r="G119" i="22"/>
  <c r="I99" i="22"/>
  <c r="G99" i="22"/>
  <c r="I120" i="22"/>
  <c r="G120" i="22"/>
  <c r="I125" i="22"/>
  <c r="G125" i="22"/>
  <c r="I100" i="22"/>
  <c r="G100" i="22"/>
  <c r="I121" i="22"/>
  <c r="G121" i="22"/>
  <c r="G101" i="22"/>
  <c r="I101" i="22"/>
  <c r="I122" i="22"/>
  <c r="G122" i="22"/>
  <c r="I104" i="22"/>
  <c r="G104" i="22"/>
  <c r="I102" i="22"/>
  <c r="G102" i="22"/>
  <c r="I123" i="22"/>
  <c r="G123" i="22"/>
  <c r="E75" i="25"/>
  <c r="D75" i="25"/>
  <c r="I341" i="22"/>
  <c r="G341" i="22"/>
  <c r="I317" i="22"/>
  <c r="G317" i="22"/>
  <c r="I340" i="22"/>
  <c r="G340" i="22"/>
  <c r="I316" i="22"/>
  <c r="G316" i="22"/>
  <c r="I315" i="22"/>
  <c r="G315" i="22"/>
  <c r="I319" i="22"/>
  <c r="G319" i="22"/>
  <c r="I338" i="22"/>
  <c r="G338" i="22"/>
  <c r="I337" i="22"/>
  <c r="G337" i="22"/>
  <c r="I314" i="22"/>
  <c r="G314" i="22"/>
  <c r="I336" i="22"/>
  <c r="G336" i="22"/>
  <c r="A312" i="22"/>
  <c r="I313" i="22"/>
  <c r="G313" i="22"/>
  <c r="I335" i="22"/>
  <c r="G335" i="22"/>
  <c r="I311" i="22"/>
  <c r="G311" i="22"/>
  <c r="I334" i="22"/>
  <c r="G334" i="22"/>
  <c r="A309" i="22"/>
  <c r="I310" i="22"/>
  <c r="G310" i="22"/>
  <c r="I333" i="22"/>
  <c r="G333" i="22"/>
  <c r="I332" i="22"/>
  <c r="G332" i="22"/>
  <c r="A330" i="22"/>
  <c r="I331" i="22"/>
  <c r="G331" i="22"/>
  <c r="I329" i="22"/>
  <c r="G329" i="22"/>
  <c r="I328" i="22"/>
  <c r="G328" i="22"/>
  <c r="I327" i="22"/>
  <c r="G327" i="22"/>
  <c r="I326" i="22"/>
  <c r="G326" i="22"/>
  <c r="I323" i="22"/>
  <c r="G323" i="22"/>
  <c r="I345" i="22"/>
  <c r="G345" i="22"/>
  <c r="I322" i="22"/>
  <c r="G322" i="22"/>
  <c r="I325" i="22"/>
  <c r="G325" i="22"/>
  <c r="I344" i="22"/>
  <c r="G344" i="22"/>
  <c r="I321" i="22"/>
  <c r="G321" i="22"/>
  <c r="I343" i="22"/>
  <c r="G343" i="22"/>
  <c r="I320" i="22"/>
  <c r="G320" i="22"/>
  <c r="I342" i="22"/>
  <c r="G342" i="22"/>
  <c r="H3" i="20"/>
  <c r="J3" i="20"/>
  <c r="J302" i="20"/>
  <c r="I302" i="20"/>
  <c r="K302" i="20" s="1"/>
  <c r="H302" i="20"/>
  <c r="G302" i="20"/>
  <c r="J278" i="20"/>
  <c r="I278" i="20"/>
  <c r="K278" i="20" s="1"/>
  <c r="H278" i="20"/>
  <c r="G278" i="20"/>
  <c r="J254" i="20"/>
  <c r="I254" i="20"/>
  <c r="K254" i="20" s="1"/>
  <c r="H254" i="20"/>
  <c r="G254" i="20"/>
  <c r="H293" i="20"/>
  <c r="G293" i="20"/>
  <c r="J293" i="20"/>
  <c r="I293" i="20"/>
  <c r="K293" i="20" s="1"/>
  <c r="H261" i="20"/>
  <c r="G261" i="20"/>
  <c r="J261" i="20"/>
  <c r="I261" i="20"/>
  <c r="K261" i="20" s="1"/>
  <c r="J292" i="20"/>
  <c r="I292" i="20"/>
  <c r="K292" i="20" s="1"/>
  <c r="H292" i="20"/>
  <c r="G292" i="20"/>
  <c r="J276" i="20"/>
  <c r="I276" i="20"/>
  <c r="K276" i="20" s="1"/>
  <c r="H276" i="20"/>
  <c r="G276" i="20"/>
  <c r="J260" i="20"/>
  <c r="I260" i="20"/>
  <c r="K260" i="20" s="1"/>
  <c r="H260" i="20"/>
  <c r="G260" i="20"/>
  <c r="J244" i="20"/>
  <c r="I244" i="20"/>
  <c r="K244" i="20" s="1"/>
  <c r="H244" i="20"/>
  <c r="G244" i="20"/>
  <c r="H11" i="20"/>
  <c r="J11" i="20"/>
  <c r="J286" i="20"/>
  <c r="I286" i="20"/>
  <c r="K286" i="20" s="1"/>
  <c r="H286" i="20"/>
  <c r="G286" i="20"/>
  <c r="J246" i="20"/>
  <c r="I246" i="20"/>
  <c r="K246" i="20" s="1"/>
  <c r="H246" i="20"/>
  <c r="G246" i="20"/>
  <c r="H301" i="20"/>
  <c r="J301" i="20"/>
  <c r="I301" i="20"/>
  <c r="K301" i="20" s="1"/>
  <c r="G301" i="20"/>
  <c r="H277" i="20"/>
  <c r="J277" i="20"/>
  <c r="I277" i="20"/>
  <c r="K277" i="20" s="1"/>
  <c r="G277" i="20"/>
  <c r="J300" i="20"/>
  <c r="I300" i="20"/>
  <c r="K300" i="20" s="1"/>
  <c r="H300" i="20"/>
  <c r="G300" i="20"/>
  <c r="J284" i="20"/>
  <c r="I284" i="20"/>
  <c r="K284" i="20" s="1"/>
  <c r="H284" i="20"/>
  <c r="G284" i="20"/>
  <c r="J268" i="20"/>
  <c r="I268" i="20"/>
  <c r="K268" i="20" s="1"/>
  <c r="H268" i="20"/>
  <c r="G268" i="20"/>
  <c r="J252" i="20"/>
  <c r="I252" i="20"/>
  <c r="K252" i="20" s="1"/>
  <c r="H252" i="20"/>
  <c r="G252" i="20"/>
  <c r="H299" i="20"/>
  <c r="J299" i="20"/>
  <c r="I299" i="20"/>
  <c r="K299" i="20" s="1"/>
  <c r="G299" i="20"/>
  <c r="H291" i="20"/>
  <c r="I291" i="20"/>
  <c r="K291" i="20" s="1"/>
  <c r="G291" i="20"/>
  <c r="J291" i="20"/>
  <c r="H283" i="20"/>
  <c r="J283" i="20"/>
  <c r="I283" i="20"/>
  <c r="K283" i="20" s="1"/>
  <c r="G283" i="20"/>
  <c r="H275" i="20"/>
  <c r="I275" i="20"/>
  <c r="K275" i="20" s="1"/>
  <c r="G275" i="20"/>
  <c r="J275" i="20"/>
  <c r="H267" i="20"/>
  <c r="J267" i="20"/>
  <c r="I267" i="20"/>
  <c r="K267" i="20" s="1"/>
  <c r="G267" i="20"/>
  <c r="H259" i="20"/>
  <c r="I259" i="20"/>
  <c r="K259" i="20" s="1"/>
  <c r="G259" i="20"/>
  <c r="J259" i="20"/>
  <c r="H251" i="20"/>
  <c r="J251" i="20"/>
  <c r="I251" i="20"/>
  <c r="K251" i="20" s="1"/>
  <c r="G251" i="20"/>
  <c r="H243" i="20"/>
  <c r="I243" i="20"/>
  <c r="K243" i="20" s="1"/>
  <c r="G243" i="20"/>
  <c r="J243" i="20"/>
  <c r="H10" i="20"/>
  <c r="J10" i="20"/>
  <c r="J294" i="20"/>
  <c r="I294" i="20"/>
  <c r="K294" i="20" s="1"/>
  <c r="H294" i="20"/>
  <c r="G294" i="20"/>
  <c r="J262" i="20"/>
  <c r="I262" i="20"/>
  <c r="K262" i="20" s="1"/>
  <c r="H262" i="20"/>
  <c r="G262" i="20"/>
  <c r="J238" i="20"/>
  <c r="I238" i="20"/>
  <c r="K238" i="20" s="1"/>
  <c r="H238" i="20"/>
  <c r="G238" i="20"/>
  <c r="H5" i="20"/>
  <c r="J5" i="20"/>
  <c r="H285" i="20"/>
  <c r="J285" i="20"/>
  <c r="I285" i="20"/>
  <c r="K285" i="20" s="1"/>
  <c r="G285" i="20"/>
  <c r="H269" i="20"/>
  <c r="J269" i="20"/>
  <c r="I269" i="20"/>
  <c r="K269" i="20" s="1"/>
  <c r="G269" i="20"/>
  <c r="H245" i="20"/>
  <c r="J245" i="20"/>
  <c r="I245" i="20"/>
  <c r="K245" i="20" s="1"/>
  <c r="G245" i="20"/>
  <c r="J298" i="20"/>
  <c r="I298" i="20"/>
  <c r="K298" i="20" s="1"/>
  <c r="H298" i="20"/>
  <c r="G298" i="20"/>
  <c r="J282" i="20"/>
  <c r="I282" i="20"/>
  <c r="K282" i="20" s="1"/>
  <c r="H282" i="20"/>
  <c r="G282" i="20"/>
  <c r="J274" i="20"/>
  <c r="I274" i="20"/>
  <c r="K274" i="20" s="1"/>
  <c r="H274" i="20"/>
  <c r="G274" i="20"/>
  <c r="J266" i="20"/>
  <c r="I266" i="20"/>
  <c r="K266" i="20" s="1"/>
  <c r="H266" i="20"/>
  <c r="G266" i="20"/>
  <c r="J258" i="20"/>
  <c r="I258" i="20"/>
  <c r="K258" i="20" s="1"/>
  <c r="H258" i="20"/>
  <c r="G258" i="20"/>
  <c r="J250" i="20"/>
  <c r="I250" i="20"/>
  <c r="K250" i="20" s="1"/>
  <c r="H250" i="20"/>
  <c r="G250" i="20"/>
  <c r="J242" i="20"/>
  <c r="I242" i="20"/>
  <c r="K242" i="20" s="1"/>
  <c r="H242" i="20"/>
  <c r="G242" i="20"/>
  <c r="J9" i="20"/>
  <c r="H9" i="20"/>
  <c r="H289" i="20"/>
  <c r="J289" i="20"/>
  <c r="I289" i="20"/>
  <c r="K289" i="20" s="1"/>
  <c r="G289" i="20"/>
  <c r="H281" i="20"/>
  <c r="G281" i="20"/>
  <c r="J281" i="20"/>
  <c r="I281" i="20"/>
  <c r="K281" i="20" s="1"/>
  <c r="H265" i="20"/>
  <c r="G265" i="20"/>
  <c r="J265" i="20"/>
  <c r="I265" i="20"/>
  <c r="K265" i="20" s="1"/>
  <c r="H249" i="20"/>
  <c r="G249" i="20"/>
  <c r="J249" i="20"/>
  <c r="I249" i="20"/>
  <c r="K249" i="20" s="1"/>
  <c r="H8" i="20"/>
  <c r="J8" i="20"/>
  <c r="J296" i="20"/>
  <c r="I296" i="20"/>
  <c r="K296" i="20" s="1"/>
  <c r="H296" i="20"/>
  <c r="G296" i="20"/>
  <c r="J288" i="20"/>
  <c r="I288" i="20"/>
  <c r="K288" i="20" s="1"/>
  <c r="H288" i="20"/>
  <c r="G288" i="20"/>
  <c r="J280" i="20"/>
  <c r="I280" i="20"/>
  <c r="K280" i="20" s="1"/>
  <c r="H280" i="20"/>
  <c r="G280" i="20"/>
  <c r="J272" i="20"/>
  <c r="I272" i="20"/>
  <c r="K272" i="20" s="1"/>
  <c r="H272" i="20"/>
  <c r="G272" i="20"/>
  <c r="J264" i="20"/>
  <c r="I264" i="20"/>
  <c r="K264" i="20" s="1"/>
  <c r="H264" i="20"/>
  <c r="G264" i="20"/>
  <c r="J256" i="20"/>
  <c r="I256" i="20"/>
  <c r="K256" i="20" s="1"/>
  <c r="H256" i="20"/>
  <c r="G256" i="20"/>
  <c r="J248" i="20"/>
  <c r="I248" i="20"/>
  <c r="K248" i="20" s="1"/>
  <c r="H248" i="20"/>
  <c r="G248" i="20"/>
  <c r="J240" i="20"/>
  <c r="I240" i="20"/>
  <c r="K240" i="20" s="1"/>
  <c r="H240" i="20"/>
  <c r="G240" i="20"/>
  <c r="H7" i="20"/>
  <c r="J7" i="20"/>
  <c r="J270" i="20"/>
  <c r="I270" i="20"/>
  <c r="K270" i="20" s="1"/>
  <c r="H270" i="20"/>
  <c r="G270" i="20"/>
  <c r="H253" i="20"/>
  <c r="J253" i="20"/>
  <c r="I253" i="20"/>
  <c r="K253" i="20" s="1"/>
  <c r="G253" i="20"/>
  <c r="H4" i="20"/>
  <c r="J4" i="20"/>
  <c r="J290" i="20"/>
  <c r="I290" i="20"/>
  <c r="K290" i="20" s="1"/>
  <c r="H290" i="20"/>
  <c r="G290" i="20"/>
  <c r="H297" i="20"/>
  <c r="G297" i="20"/>
  <c r="J297" i="20"/>
  <c r="I297" i="20"/>
  <c r="K297" i="20" s="1"/>
  <c r="H273" i="20"/>
  <c r="J273" i="20"/>
  <c r="I273" i="20"/>
  <c r="K273" i="20" s="1"/>
  <c r="G273" i="20"/>
  <c r="H257" i="20"/>
  <c r="J257" i="20"/>
  <c r="I257" i="20"/>
  <c r="K257" i="20" s="1"/>
  <c r="G257" i="20"/>
  <c r="H241" i="20"/>
  <c r="J241" i="20"/>
  <c r="I241" i="20"/>
  <c r="K241" i="20" s="1"/>
  <c r="G241" i="20"/>
  <c r="H295" i="20"/>
  <c r="J295" i="20"/>
  <c r="I295" i="20"/>
  <c r="K295" i="20" s="1"/>
  <c r="G295" i="20"/>
  <c r="H287" i="20"/>
  <c r="J287" i="20"/>
  <c r="I287" i="20"/>
  <c r="K287" i="20" s="1"/>
  <c r="G287" i="20"/>
  <c r="H279" i="20"/>
  <c r="J279" i="20"/>
  <c r="I279" i="20"/>
  <c r="K279" i="20" s="1"/>
  <c r="G279" i="20"/>
  <c r="H271" i="20"/>
  <c r="I271" i="20"/>
  <c r="K271" i="20" s="1"/>
  <c r="G271" i="20"/>
  <c r="J271" i="20"/>
  <c r="H263" i="20"/>
  <c r="J263" i="20"/>
  <c r="I263" i="20"/>
  <c r="K263" i="20" s="1"/>
  <c r="G263" i="20"/>
  <c r="H255" i="20"/>
  <c r="J255" i="20"/>
  <c r="I255" i="20"/>
  <c r="K255" i="20" s="1"/>
  <c r="G255" i="20"/>
  <c r="H247" i="20"/>
  <c r="J247" i="20"/>
  <c r="I247" i="20"/>
  <c r="K247" i="20" s="1"/>
  <c r="G247" i="20"/>
  <c r="H239" i="20"/>
  <c r="I239" i="20"/>
  <c r="K239" i="20" s="1"/>
  <c r="J239" i="20"/>
  <c r="G239" i="20"/>
  <c r="H6" i="20"/>
  <c r="J6" i="20"/>
  <c r="C58" i="22"/>
  <c r="F5" i="20" s="1"/>
  <c r="C64" i="22"/>
  <c r="F11" i="20" s="1"/>
  <c r="C62" i="22"/>
  <c r="F9" i="20" s="1"/>
  <c r="C60" i="22"/>
  <c r="F7" i="20" s="1"/>
  <c r="C22" i="14"/>
  <c r="E22" i="14" s="1"/>
  <c r="D22" i="14"/>
  <c r="C324" i="20"/>
  <c r="C316" i="20"/>
  <c r="C322" i="20"/>
  <c r="B314" i="20"/>
  <c r="B331" i="20"/>
  <c r="B323" i="20"/>
  <c r="B315" i="20"/>
  <c r="B307" i="20"/>
  <c r="C321" i="20"/>
  <c r="C313" i="20"/>
  <c r="C305" i="20"/>
  <c r="Q288" i="20"/>
  <c r="S288" i="20" s="1"/>
  <c r="Q256" i="20"/>
  <c r="S256" i="20" s="1"/>
  <c r="C245" i="20"/>
  <c r="Q245" i="20"/>
  <c r="S245" i="20" s="1"/>
  <c r="B197" i="20"/>
  <c r="C149" i="20"/>
  <c r="B105" i="20"/>
  <c r="C42" i="20"/>
  <c r="B27" i="20"/>
  <c r="B280" i="20"/>
  <c r="Q280" i="20"/>
  <c r="S280" i="20" s="1"/>
  <c r="E248" i="20"/>
  <c r="L248" i="20" s="1"/>
  <c r="Q248" i="20"/>
  <c r="S248" i="20" s="1"/>
  <c r="B293" i="20"/>
  <c r="Q293" i="20"/>
  <c r="S293" i="20" s="1"/>
  <c r="Q261" i="20"/>
  <c r="S261" i="20" s="1"/>
  <c r="B229" i="20"/>
  <c r="B205" i="20"/>
  <c r="C136" i="20"/>
  <c r="Q276" i="20"/>
  <c r="S276" i="20" s="1"/>
  <c r="B196" i="20"/>
  <c r="B156" i="20"/>
  <c r="E128" i="20"/>
  <c r="B81" i="20"/>
  <c r="B301" i="20"/>
  <c r="Q301" i="20"/>
  <c r="S301" i="20" s="1"/>
  <c r="Q277" i="20"/>
  <c r="S277" i="20" s="1"/>
  <c r="C253" i="20"/>
  <c r="Q253" i="20"/>
  <c r="S253" i="20" s="1"/>
  <c r="B221" i="20"/>
  <c r="B189" i="20"/>
  <c r="C173" i="20"/>
  <c r="B97" i="20"/>
  <c r="B74" i="20"/>
  <c r="B66" i="20"/>
  <c r="C50" i="20"/>
  <c r="Q292" i="20"/>
  <c r="S292" i="20" s="1"/>
  <c r="Q260" i="20"/>
  <c r="S260" i="20" s="1"/>
  <c r="Q291" i="20"/>
  <c r="S291" i="20" s="1"/>
  <c r="Q275" i="20"/>
  <c r="S275" i="20" s="1"/>
  <c r="Q259" i="20"/>
  <c r="S259" i="20" s="1"/>
  <c r="Q243" i="20"/>
  <c r="C195" i="20"/>
  <c r="B179" i="20"/>
  <c r="D119" i="20"/>
  <c r="C64" i="20"/>
  <c r="E32" i="20"/>
  <c r="L32" i="20" s="1"/>
  <c r="Q285" i="20"/>
  <c r="S285" i="20" s="1"/>
  <c r="B269" i="20"/>
  <c r="Q269" i="20"/>
  <c r="S269" i="20" s="1"/>
  <c r="C237" i="20"/>
  <c r="B213" i="20"/>
  <c r="C181" i="20"/>
  <c r="Q300" i="20"/>
  <c r="S300" i="20" s="1"/>
  <c r="Q268" i="20"/>
  <c r="S268" i="20" s="1"/>
  <c r="Q244" i="20"/>
  <c r="B96" i="20"/>
  <c r="D41" i="20"/>
  <c r="Q299" i="20"/>
  <c r="S299" i="20" s="1"/>
  <c r="Q283" i="20"/>
  <c r="S283" i="20" s="1"/>
  <c r="Q267" i="20"/>
  <c r="S267" i="20" s="1"/>
  <c r="Q251" i="20"/>
  <c r="S251" i="20" s="1"/>
  <c r="C219" i="20"/>
  <c r="C95" i="20"/>
  <c r="C88" i="20"/>
  <c r="C72" i="20"/>
  <c r="D56" i="20"/>
  <c r="D25" i="20"/>
  <c r="Q298" i="20"/>
  <c r="S298" i="20" s="1"/>
  <c r="Q290" i="20"/>
  <c r="S290" i="20" s="1"/>
  <c r="Q282" i="20"/>
  <c r="S282" i="20" s="1"/>
  <c r="Q274" i="20"/>
  <c r="S274" i="20" s="1"/>
  <c r="Q266" i="20"/>
  <c r="S266" i="20" s="1"/>
  <c r="Q258" i="20"/>
  <c r="S258" i="20" s="1"/>
  <c r="B250" i="20"/>
  <c r="Q250" i="20"/>
  <c r="S250" i="20" s="1"/>
  <c r="Q242" i="20"/>
  <c r="S242" i="20" s="1"/>
  <c r="C234" i="20"/>
  <c r="C186" i="20"/>
  <c r="B170" i="20"/>
  <c r="C71" i="20"/>
  <c r="Q284" i="20"/>
  <c r="S284" i="20" s="1"/>
  <c r="Q252" i="20"/>
  <c r="S252" i="20" s="1"/>
  <c r="B220" i="20"/>
  <c r="B188" i="20"/>
  <c r="D164" i="20"/>
  <c r="B104" i="20"/>
  <c r="Q297" i="20"/>
  <c r="Q289" i="20"/>
  <c r="S289" i="20" s="1"/>
  <c r="Q281" i="20"/>
  <c r="S281" i="20" s="1"/>
  <c r="Q273" i="20"/>
  <c r="S273" i="20" s="1"/>
  <c r="Q265" i="20"/>
  <c r="S265" i="20" s="1"/>
  <c r="Q257" i="20"/>
  <c r="S257" i="20" s="1"/>
  <c r="Q249" i="20"/>
  <c r="S249" i="20" s="1"/>
  <c r="Q241" i="20"/>
  <c r="Q272" i="20"/>
  <c r="S272" i="20" s="1"/>
  <c r="B144" i="20"/>
  <c r="B139" i="20"/>
  <c r="B124" i="20"/>
  <c r="B116" i="20"/>
  <c r="D108" i="20"/>
  <c r="B85" i="20"/>
  <c r="B13" i="20"/>
  <c r="Q296" i="20"/>
  <c r="S296" i="20" s="1"/>
  <c r="Q264" i="20"/>
  <c r="S264" i="20" s="1"/>
  <c r="Q240" i="20"/>
  <c r="B208" i="20"/>
  <c r="B168" i="20"/>
  <c r="B152" i="20"/>
  <c r="B61" i="20"/>
  <c r="B45" i="20"/>
  <c r="B29" i="20"/>
  <c r="Q287" i="20"/>
  <c r="S287" i="20" s="1"/>
  <c r="Q271" i="20"/>
  <c r="S271" i="20" s="1"/>
  <c r="Q255" i="20"/>
  <c r="Q239" i="20"/>
  <c r="B138" i="20"/>
  <c r="D99" i="20"/>
  <c r="B84" i="20"/>
  <c r="B68" i="20"/>
  <c r="B36" i="20"/>
  <c r="D4" i="20"/>
  <c r="B92" i="20"/>
  <c r="B53" i="20"/>
  <c r="B21" i="20"/>
  <c r="D3" i="20"/>
  <c r="Q295" i="20"/>
  <c r="S295" i="20" s="1"/>
  <c r="Q279" i="20"/>
  <c r="S279" i="20" s="1"/>
  <c r="Q263" i="20"/>
  <c r="S263" i="20" s="1"/>
  <c r="Q247" i="20"/>
  <c r="S247" i="20" s="1"/>
  <c r="D107" i="20"/>
  <c r="B302" i="20"/>
  <c r="Q302" i="20"/>
  <c r="S302" i="20" s="1"/>
  <c r="Q294" i="20"/>
  <c r="S294" i="20" s="1"/>
  <c r="Q286" i="20"/>
  <c r="S286" i="20" s="1"/>
  <c r="Q278" i="20"/>
  <c r="S278" i="20" s="1"/>
  <c r="B270" i="20"/>
  <c r="Q270" i="20"/>
  <c r="S270" i="20" s="1"/>
  <c r="Q262" i="20"/>
  <c r="S262" i="20" s="1"/>
  <c r="Q254" i="20"/>
  <c r="S254" i="20" s="1"/>
  <c r="Q246" i="20"/>
  <c r="S246" i="20" s="1"/>
  <c r="Q238" i="20"/>
  <c r="B9" i="20"/>
  <c r="B6" i="20"/>
  <c r="B18" i="20"/>
  <c r="C16" i="20"/>
  <c r="B20" i="20"/>
  <c r="C79" i="22"/>
  <c r="B79" i="22"/>
  <c r="C61" i="22"/>
  <c r="F8" i="20" s="1"/>
  <c r="C57" i="22"/>
  <c r="F4" i="20" s="1"/>
  <c r="C63" i="22"/>
  <c r="F10" i="20" s="1"/>
  <c r="C59" i="22"/>
  <c r="F6" i="20" s="1"/>
  <c r="C56" i="22"/>
  <c r="F3" i="20" s="1"/>
  <c r="C120" i="25"/>
  <c r="C108" i="25"/>
  <c r="C100" i="25"/>
  <c r="C84" i="25"/>
  <c r="C72" i="25"/>
  <c r="C60" i="25"/>
  <c r="C56" i="25"/>
  <c r="C107" i="25"/>
  <c r="C51" i="25"/>
  <c r="C115" i="25"/>
  <c r="C111" i="25"/>
  <c r="C103" i="25"/>
  <c r="C91" i="25"/>
  <c r="C87" i="25"/>
  <c r="C79" i="25"/>
  <c r="C75" i="25"/>
  <c r="C47" i="25"/>
  <c r="C92" i="25"/>
  <c r="C88" i="25"/>
  <c r="C71" i="25"/>
  <c r="C118" i="25"/>
  <c r="C106" i="25"/>
  <c r="C98" i="25"/>
  <c r="C94" i="25"/>
  <c r="C82" i="25"/>
  <c r="C70" i="25"/>
  <c r="C66" i="25"/>
  <c r="C62" i="25"/>
  <c r="C58" i="25"/>
  <c r="C54" i="25"/>
  <c r="C50" i="25"/>
  <c r="C80" i="25"/>
  <c r="C68" i="25"/>
  <c r="C83" i="25"/>
  <c r="C113" i="25"/>
  <c r="C109" i="25"/>
  <c r="C101" i="25"/>
  <c r="C85" i="25"/>
  <c r="C77" i="25"/>
  <c r="C73" i="25"/>
  <c r="C95" i="25"/>
  <c r="C59" i="25"/>
  <c r="C114" i="25"/>
  <c r="C110" i="25"/>
  <c r="C102" i="25"/>
  <c r="C86" i="25"/>
  <c r="C78" i="25"/>
  <c r="C74" i="25"/>
  <c r="C116" i="25"/>
  <c r="C104" i="25"/>
  <c r="C63" i="25"/>
  <c r="C117" i="25"/>
  <c r="C105" i="25"/>
  <c r="C97" i="25"/>
  <c r="C93" i="25"/>
  <c r="C89" i="25"/>
  <c r="C81" i="25"/>
  <c r="C69" i="25"/>
  <c r="C65" i="25"/>
  <c r="C53" i="25"/>
  <c r="C49" i="25"/>
  <c r="C48" i="25"/>
  <c r="C119" i="25"/>
  <c r="C99" i="25"/>
  <c r="C55" i="25"/>
  <c r="C85" i="22"/>
  <c r="C229" i="22"/>
  <c r="C198" i="22"/>
  <c r="C138" i="22"/>
  <c r="C130" i="22"/>
  <c r="C77" i="22"/>
  <c r="C76" i="22"/>
  <c r="C75" i="22"/>
  <c r="C73" i="22"/>
  <c r="C72" i="22"/>
  <c r="C317" i="22"/>
  <c r="C335" i="22"/>
  <c r="C343" i="22"/>
  <c r="C328" i="22"/>
  <c r="C327" i="22"/>
  <c r="C313" i="22"/>
  <c r="C276" i="22"/>
  <c r="C268" i="22"/>
  <c r="C260" i="22"/>
  <c r="C280" i="22"/>
  <c r="C299" i="22"/>
  <c r="C303" i="22"/>
  <c r="C272" i="22"/>
  <c r="C264" i="22"/>
  <c r="A285" i="22"/>
  <c r="C256" i="22"/>
  <c r="C307" i="22"/>
  <c r="C284" i="22"/>
  <c r="C241" i="22"/>
  <c r="C237" i="22"/>
  <c r="C179" i="22"/>
  <c r="C183" i="22"/>
  <c r="C190" i="22"/>
  <c r="C177" i="22"/>
  <c r="C212" i="22"/>
  <c r="C223" i="22"/>
  <c r="C196" i="22"/>
  <c r="C188" i="22"/>
  <c r="C186" i="22"/>
  <c r="C194" i="22"/>
  <c r="C181" i="22"/>
  <c r="C175" i="22"/>
  <c r="C200" i="22"/>
  <c r="C233" i="22"/>
  <c r="C242" i="22"/>
  <c r="C238" i="22"/>
  <c r="C234" i="22"/>
  <c r="C230" i="22"/>
  <c r="C173" i="22"/>
  <c r="A298" i="22"/>
  <c r="C243" i="22"/>
  <c r="C239" i="22"/>
  <c r="C235" i="22"/>
  <c r="C231" i="22"/>
  <c r="C227" i="22"/>
  <c r="C244" i="22"/>
  <c r="C240" i="22"/>
  <c r="C236" i="22"/>
  <c r="C232" i="22"/>
  <c r="C228" i="22"/>
  <c r="C132" i="22"/>
  <c r="C338" i="22"/>
  <c r="C334" i="22"/>
  <c r="C323" i="22"/>
  <c r="C319" i="22"/>
  <c r="A255" i="22"/>
  <c r="C344" i="22"/>
  <c r="C340" i="22"/>
  <c r="C329" i="22"/>
  <c r="C325" i="22"/>
  <c r="C314" i="22"/>
  <c r="C320" i="22"/>
  <c r="C345" i="22"/>
  <c r="C341" i="22"/>
  <c r="C326" i="22"/>
  <c r="A318" i="22"/>
  <c r="C315" i="22"/>
  <c r="A339" i="22"/>
  <c r="C336" i="22"/>
  <c r="C332" i="22"/>
  <c r="A324" i="22"/>
  <c r="C321" i="22"/>
  <c r="C310" i="22"/>
  <c r="C331" i="22"/>
  <c r="C342" i="22"/>
  <c r="C316" i="22"/>
  <c r="C248" i="22"/>
  <c r="C337" i="22"/>
  <c r="C333" i="22"/>
  <c r="C322" i="22"/>
  <c r="C311" i="22"/>
  <c r="C251" i="22"/>
  <c r="C308" i="22"/>
  <c r="C304" i="22"/>
  <c r="C300" i="22"/>
  <c r="C281" i="22"/>
  <c r="C277" i="22"/>
  <c r="C273" i="22"/>
  <c r="C269" i="22"/>
  <c r="C265" i="22"/>
  <c r="C261" i="22"/>
  <c r="C257" i="22"/>
  <c r="C295" i="22"/>
  <c r="C291" i="22"/>
  <c r="C287" i="22"/>
  <c r="C252" i="22"/>
  <c r="C294" i="22"/>
  <c r="C290" i="22"/>
  <c r="C286" i="22"/>
  <c r="A185" i="22"/>
  <c r="C305" i="22"/>
  <c r="C301" i="22"/>
  <c r="C282" i="22"/>
  <c r="C278" i="22"/>
  <c r="C274" i="22"/>
  <c r="C270" i="22"/>
  <c r="C266" i="22"/>
  <c r="C262" i="22"/>
  <c r="C258" i="22"/>
  <c r="C296" i="22"/>
  <c r="C292" i="22"/>
  <c r="C288" i="22"/>
  <c r="C253" i="22"/>
  <c r="C249" i="22"/>
  <c r="C246" i="22"/>
  <c r="C306" i="22"/>
  <c r="C302" i="22"/>
  <c r="C283" i="22"/>
  <c r="C279" i="22"/>
  <c r="C275" i="22"/>
  <c r="C271" i="22"/>
  <c r="C267" i="22"/>
  <c r="C263" i="22"/>
  <c r="C259" i="22"/>
  <c r="C297" i="22"/>
  <c r="C293" i="22"/>
  <c r="C289" i="22"/>
  <c r="C254" i="22"/>
  <c r="C250" i="22"/>
  <c r="C247" i="22"/>
  <c r="C206" i="22"/>
  <c r="A219" i="22"/>
  <c r="C216" i="22"/>
  <c r="C199" i="22"/>
  <c r="C195" i="22"/>
  <c r="C191" i="22"/>
  <c r="C187" i="22"/>
  <c r="C222" i="22"/>
  <c r="C211" i="22"/>
  <c r="C207" i="22"/>
  <c r="C203" i="22"/>
  <c r="C182" i="22"/>
  <c r="C178" i="22"/>
  <c r="C174" i="22"/>
  <c r="C225" i="22"/>
  <c r="C221" i="22"/>
  <c r="C210" i="22"/>
  <c r="C217" i="22"/>
  <c r="C192" i="22"/>
  <c r="C208" i="22"/>
  <c r="C204" i="22"/>
  <c r="C171" i="22"/>
  <c r="C218" i="22"/>
  <c r="A202" i="22"/>
  <c r="C201" i="22"/>
  <c r="C197" i="22"/>
  <c r="C193" i="22"/>
  <c r="C189" i="22"/>
  <c r="C224" i="22"/>
  <c r="C220" i="22"/>
  <c r="C213" i="22"/>
  <c r="C209" i="22"/>
  <c r="C205" i="22"/>
  <c r="C184" i="22"/>
  <c r="C180" i="22"/>
  <c r="C176" i="22"/>
  <c r="C172" i="22"/>
  <c r="C215" i="22"/>
  <c r="C148" i="22"/>
  <c r="C142" i="22"/>
  <c r="C158" i="22"/>
  <c r="C168" i="22"/>
  <c r="C164" i="22"/>
  <c r="C150" i="22"/>
  <c r="C160" i="22"/>
  <c r="A146" i="22"/>
  <c r="C154" i="22"/>
  <c r="C156" i="22"/>
  <c r="C162" i="22"/>
  <c r="C134" i="22"/>
  <c r="C152" i="22"/>
  <c r="C166" i="22"/>
  <c r="C167" i="22"/>
  <c r="C163" i="22"/>
  <c r="C159" i="22"/>
  <c r="C155" i="22"/>
  <c r="C151" i="22"/>
  <c r="C147" i="22"/>
  <c r="C74" i="22"/>
  <c r="C143" i="22"/>
  <c r="C139" i="22"/>
  <c r="C135" i="22"/>
  <c r="C131" i="22"/>
  <c r="C128" i="22"/>
  <c r="C169" i="22"/>
  <c r="C165" i="22"/>
  <c r="C161" i="22"/>
  <c r="C157" i="22"/>
  <c r="C153" i="22"/>
  <c r="C149" i="22"/>
  <c r="C140" i="22"/>
  <c r="C145" i="22"/>
  <c r="C141" i="22"/>
  <c r="C137" i="22"/>
  <c r="C133" i="22"/>
  <c r="C129" i="22"/>
  <c r="C144" i="22"/>
  <c r="C136" i="22"/>
  <c r="C103" i="22"/>
  <c r="C107" i="22"/>
  <c r="C81" i="22"/>
  <c r="C99" i="22"/>
  <c r="C83" i="22"/>
  <c r="C91" i="22"/>
  <c r="C95" i="22"/>
  <c r="C87" i="22"/>
  <c r="C97" i="22"/>
  <c r="C101" i="22"/>
  <c r="C89" i="22"/>
  <c r="C84" i="22"/>
  <c r="C98" i="22"/>
  <c r="C102" i="22"/>
  <c r="C106" i="22"/>
  <c r="C110" i="22"/>
  <c r="C93" i="22"/>
  <c r="C92" i="22"/>
  <c r="C115" i="22"/>
  <c r="C119" i="22"/>
  <c r="C123" i="22"/>
  <c r="C116" i="22"/>
  <c r="C124" i="22"/>
  <c r="C105" i="22"/>
  <c r="C109" i="22"/>
  <c r="C112" i="22"/>
  <c r="C120" i="22"/>
  <c r="A80" i="22"/>
  <c r="A94" i="22"/>
  <c r="C114" i="22"/>
  <c r="C118" i="22"/>
  <c r="C122" i="22"/>
  <c r="C126" i="22"/>
  <c r="C82" i="22"/>
  <c r="C86" i="22"/>
  <c r="A88" i="22"/>
  <c r="C96" i="22"/>
  <c r="C100" i="22"/>
  <c r="C104" i="22"/>
  <c r="C108" i="22"/>
  <c r="A111" i="22"/>
  <c r="C90" i="22"/>
  <c r="C113" i="22"/>
  <c r="C117" i="22"/>
  <c r="C121" i="22"/>
  <c r="C125" i="22"/>
  <c r="C70" i="22"/>
  <c r="C66" i="22"/>
  <c r="C69" i="22"/>
  <c r="A55" i="22"/>
  <c r="A71" i="22"/>
  <c r="C67" i="22"/>
  <c r="A65" i="22"/>
  <c r="F23" i="4" s="1"/>
  <c r="C68" i="22"/>
  <c r="C128" i="25" s="1"/>
  <c r="C78" i="22"/>
  <c r="B275" i="20"/>
  <c r="B211" i="20"/>
  <c r="B147" i="20"/>
  <c r="B88" i="20"/>
  <c r="B25" i="20"/>
  <c r="B330" i="20"/>
  <c r="B267" i="20"/>
  <c r="B203" i="20"/>
  <c r="B80" i="20"/>
  <c r="B16" i="20"/>
  <c r="B322" i="20"/>
  <c r="B259" i="20"/>
  <c r="B195" i="20"/>
  <c r="B72" i="20"/>
  <c r="B8" i="20"/>
  <c r="B251" i="20"/>
  <c r="B187" i="20"/>
  <c r="B127" i="20"/>
  <c r="B64" i="20"/>
  <c r="B306" i="20"/>
  <c r="B243" i="20"/>
  <c r="B119" i="20"/>
  <c r="B56" i="20"/>
  <c r="B299" i="20"/>
  <c r="B235" i="20"/>
  <c r="B171" i="20"/>
  <c r="B111" i="20"/>
  <c r="B48" i="20"/>
  <c r="B291" i="20"/>
  <c r="B227" i="20"/>
  <c r="B163" i="20"/>
  <c r="B103" i="20"/>
  <c r="B40" i="20"/>
  <c r="B283" i="20"/>
  <c r="B219" i="20"/>
  <c r="B155" i="20"/>
  <c r="B95" i="20"/>
  <c r="B32" i="20"/>
  <c r="C332" i="20"/>
  <c r="B329" i="20"/>
  <c r="B321" i="20"/>
  <c r="B313" i="20"/>
  <c r="B305" i="20"/>
  <c r="B298" i="20"/>
  <c r="B290" i="20"/>
  <c r="B282" i="20"/>
  <c r="B274" i="20"/>
  <c r="B266" i="20"/>
  <c r="B258" i="20"/>
  <c r="B242" i="20"/>
  <c r="B234" i="20"/>
  <c r="B226" i="20"/>
  <c r="B218" i="20"/>
  <c r="B210" i="20"/>
  <c r="B202" i="20"/>
  <c r="B194" i="20"/>
  <c r="B186" i="20"/>
  <c r="B178" i="20"/>
  <c r="B162" i="20"/>
  <c r="B154" i="20"/>
  <c r="B146" i="20"/>
  <c r="B141" i="20"/>
  <c r="B134" i="20"/>
  <c r="B126" i="20"/>
  <c r="B118" i="20"/>
  <c r="B110" i="20"/>
  <c r="B102" i="20"/>
  <c r="B94" i="20"/>
  <c r="B87" i="20"/>
  <c r="B79" i="20"/>
  <c r="B71" i="20"/>
  <c r="B63" i="20"/>
  <c r="B55" i="20"/>
  <c r="B47" i="20"/>
  <c r="B39" i="20"/>
  <c r="B31" i="20"/>
  <c r="B23" i="20"/>
  <c r="B15" i="20"/>
  <c r="B7" i="20"/>
  <c r="C118" i="20"/>
  <c r="B328" i="20"/>
  <c r="B320" i="20"/>
  <c r="B312" i="20"/>
  <c r="B304" i="20"/>
  <c r="B297" i="20"/>
  <c r="B289" i="20"/>
  <c r="B281" i="20"/>
  <c r="B273" i="20"/>
  <c r="B265" i="20"/>
  <c r="B257" i="20"/>
  <c r="B249" i="20"/>
  <c r="B241" i="20"/>
  <c r="B233" i="20"/>
  <c r="B225" i="20"/>
  <c r="B217" i="20"/>
  <c r="B209" i="20"/>
  <c r="B201" i="20"/>
  <c r="B193" i="20"/>
  <c r="B185" i="20"/>
  <c r="B177" i="20"/>
  <c r="B169" i="20"/>
  <c r="B161" i="20"/>
  <c r="B153" i="20"/>
  <c r="B145" i="20"/>
  <c r="B140" i="20"/>
  <c r="B133" i="20"/>
  <c r="B125" i="20"/>
  <c r="B117" i="20"/>
  <c r="B109" i="20"/>
  <c r="B101" i="20"/>
  <c r="B93" i="20"/>
  <c r="B86" i="20"/>
  <c r="B78" i="20"/>
  <c r="B70" i="20"/>
  <c r="B62" i="20"/>
  <c r="B54" i="20"/>
  <c r="B46" i="20"/>
  <c r="B38" i="20"/>
  <c r="B30" i="20"/>
  <c r="B22" i="20"/>
  <c r="B14" i="20"/>
  <c r="C80" i="20"/>
  <c r="B327" i="20"/>
  <c r="B319" i="20"/>
  <c r="B311" i="20"/>
  <c r="B303" i="20"/>
  <c r="B296" i="20"/>
  <c r="B288" i="20"/>
  <c r="B272" i="20"/>
  <c r="B264" i="20"/>
  <c r="B256" i="20"/>
  <c r="B248" i="20"/>
  <c r="B240" i="20"/>
  <c r="B232" i="20"/>
  <c r="B224" i="20"/>
  <c r="B216" i="20"/>
  <c r="B200" i="20"/>
  <c r="B192" i="20"/>
  <c r="B184" i="20"/>
  <c r="B176" i="20"/>
  <c r="B160" i="20"/>
  <c r="B132" i="20"/>
  <c r="B108" i="20"/>
  <c r="B100" i="20"/>
  <c r="B77" i="20"/>
  <c r="B69" i="20"/>
  <c r="B37" i="20"/>
  <c r="B5" i="20"/>
  <c r="C58" i="20"/>
  <c r="B3" i="20"/>
  <c r="B326" i="20"/>
  <c r="B318" i="20"/>
  <c r="B310" i="20"/>
  <c r="B295" i="20"/>
  <c r="B287" i="20"/>
  <c r="B279" i="20"/>
  <c r="B271" i="20"/>
  <c r="B263" i="20"/>
  <c r="B255" i="20"/>
  <c r="B247" i="20"/>
  <c r="B239" i="20"/>
  <c r="B231" i="20"/>
  <c r="B223" i="20"/>
  <c r="B215" i="20"/>
  <c r="B207" i="20"/>
  <c r="B199" i="20"/>
  <c r="B191" i="20"/>
  <c r="B183" i="20"/>
  <c r="B175" i="20"/>
  <c r="B167" i="20"/>
  <c r="B159" i="20"/>
  <c r="B151" i="20"/>
  <c r="B143" i="20"/>
  <c r="B131" i="20"/>
  <c r="B123" i="20"/>
  <c r="B115" i="20"/>
  <c r="B107" i="20"/>
  <c r="B99" i="20"/>
  <c r="B91" i="20"/>
  <c r="B76" i="20"/>
  <c r="B60" i="20"/>
  <c r="B52" i="20"/>
  <c r="B44" i="20"/>
  <c r="B28" i="20"/>
  <c r="B12" i="20"/>
  <c r="B4" i="20"/>
  <c r="B333" i="20"/>
  <c r="B325" i="20"/>
  <c r="B317" i="20"/>
  <c r="B309" i="20"/>
  <c r="B294" i="20"/>
  <c r="B286" i="20"/>
  <c r="B278" i="20"/>
  <c r="B262" i="20"/>
  <c r="B254" i="20"/>
  <c r="B246" i="20"/>
  <c r="B238" i="20"/>
  <c r="B230" i="20"/>
  <c r="B222" i="20"/>
  <c r="B214" i="20"/>
  <c r="B206" i="20"/>
  <c r="B198" i="20"/>
  <c r="B190" i="20"/>
  <c r="B182" i="20"/>
  <c r="B174" i="20"/>
  <c r="B166" i="20"/>
  <c r="B158" i="20"/>
  <c r="B150" i="20"/>
  <c r="B142" i="20"/>
  <c r="B137" i="20"/>
  <c r="B130" i="20"/>
  <c r="B122" i="20"/>
  <c r="B114" i="20"/>
  <c r="B106" i="20"/>
  <c r="B98" i="20"/>
  <c r="B90" i="20"/>
  <c r="B83" i="20"/>
  <c r="B75" i="20"/>
  <c r="B67" i="20"/>
  <c r="B59" i="20"/>
  <c r="B51" i="20"/>
  <c r="B43" i="20"/>
  <c r="B35" i="20"/>
  <c r="B19" i="20"/>
  <c r="B11" i="20"/>
  <c r="B332" i="20"/>
  <c r="B324" i="20"/>
  <c r="B316" i="20"/>
  <c r="B308" i="20"/>
  <c r="B285" i="20"/>
  <c r="B277" i="20"/>
  <c r="B261" i="20"/>
  <c r="B253" i="20"/>
  <c r="B245" i="20"/>
  <c r="B237" i="20"/>
  <c r="B181" i="20"/>
  <c r="B173" i="20"/>
  <c r="B165" i="20"/>
  <c r="B157" i="20"/>
  <c r="B149" i="20"/>
  <c r="B136" i="20"/>
  <c r="B129" i="20"/>
  <c r="B121" i="20"/>
  <c r="B113" i="20"/>
  <c r="B89" i="20"/>
  <c r="B82" i="20"/>
  <c r="B58" i="20"/>
  <c r="B50" i="20"/>
  <c r="B42" i="20"/>
  <c r="B34" i="20"/>
  <c r="B10" i="20"/>
  <c r="B300" i="20"/>
  <c r="B292" i="20"/>
  <c r="B284" i="20"/>
  <c r="B276" i="20"/>
  <c r="B268" i="20"/>
  <c r="B260" i="20"/>
  <c r="B252" i="20"/>
  <c r="B244" i="20"/>
  <c r="B236" i="20"/>
  <c r="B228" i="20"/>
  <c r="B212" i="20"/>
  <c r="B204" i="20"/>
  <c r="B180" i="20"/>
  <c r="B172" i="20"/>
  <c r="B164" i="20"/>
  <c r="B148" i="20"/>
  <c r="B135" i="20"/>
  <c r="B128" i="20"/>
  <c r="B120" i="20"/>
  <c r="B112" i="20"/>
  <c r="B73" i="20"/>
  <c r="B65" i="20"/>
  <c r="B57" i="20"/>
  <c r="B49" i="20"/>
  <c r="B41" i="20"/>
  <c r="B33" i="20"/>
  <c r="B26" i="20"/>
  <c r="B17" i="20"/>
  <c r="D138" i="20"/>
  <c r="D36" i="20"/>
  <c r="C6" i="20"/>
  <c r="D12" i="20"/>
  <c r="D167" i="20"/>
  <c r="E280" i="20"/>
  <c r="D232" i="20"/>
  <c r="E208" i="20"/>
  <c r="E176" i="20"/>
  <c r="D168" i="20"/>
  <c r="E152" i="20"/>
  <c r="D144" i="20"/>
  <c r="D139" i="20"/>
  <c r="E124" i="20"/>
  <c r="D116" i="20"/>
  <c r="E92" i="20"/>
  <c r="D85" i="20"/>
  <c r="E61" i="20"/>
  <c r="D53" i="20"/>
  <c r="D45" i="20"/>
  <c r="E29" i="20"/>
  <c r="D21" i="20"/>
  <c r="D13" i="20"/>
  <c r="C82" i="20"/>
  <c r="E33" i="20"/>
  <c r="L33" i="20" s="1"/>
  <c r="D228" i="20"/>
  <c r="D207" i="20"/>
  <c r="D199" i="20"/>
  <c r="D191" i="20"/>
  <c r="D84" i="20"/>
  <c r="D68" i="20"/>
  <c r="D76" i="20"/>
  <c r="C301" i="20"/>
  <c r="D293" i="20"/>
  <c r="C277" i="20"/>
  <c r="C269" i="20"/>
  <c r="C261" i="20"/>
  <c r="C229" i="20"/>
  <c r="C221" i="20"/>
  <c r="C213" i="20"/>
  <c r="C205" i="20"/>
  <c r="C197" i="20"/>
  <c r="C189" i="20"/>
  <c r="C129" i="20"/>
  <c r="C121" i="20"/>
  <c r="C113" i="20"/>
  <c r="C105" i="20"/>
  <c r="C97" i="20"/>
  <c r="C89" i="20"/>
  <c r="C74" i="20"/>
  <c r="C66" i="20"/>
  <c r="C27" i="20"/>
  <c r="C18" i="20"/>
  <c r="C285" i="20"/>
  <c r="C56" i="20"/>
  <c r="D77" i="20"/>
  <c r="D175" i="20"/>
  <c r="D159" i="20"/>
  <c r="D52" i="20"/>
  <c r="D20" i="20"/>
  <c r="C284" i="20"/>
  <c r="D260" i="20"/>
  <c r="C252" i="20"/>
  <c r="E220" i="20"/>
  <c r="D196" i="20"/>
  <c r="E188" i="20"/>
  <c r="D156" i="20"/>
  <c r="D104" i="20"/>
  <c r="E96" i="20"/>
  <c r="D73" i="20"/>
  <c r="E65" i="20"/>
  <c r="C33" i="20"/>
  <c r="C9" i="20"/>
  <c r="C242" i="20"/>
  <c r="C34" i="20"/>
  <c r="D115" i="20"/>
  <c r="D143" i="20"/>
  <c r="D131" i="20"/>
  <c r="D231" i="20"/>
  <c r="C259" i="20"/>
  <c r="C251" i="20"/>
  <c r="E243" i="20"/>
  <c r="D179" i="20"/>
  <c r="C155" i="20"/>
  <c r="D147" i="20"/>
  <c r="C194" i="20"/>
  <c r="C32" i="20"/>
  <c r="E116" i="20"/>
  <c r="E239" i="20"/>
  <c r="L239" i="20" s="1"/>
  <c r="D223" i="20"/>
  <c r="D44" i="20"/>
  <c r="C283" i="20"/>
  <c r="E275" i="20"/>
  <c r="C111" i="20"/>
  <c r="C48" i="20"/>
  <c r="C40" i="20"/>
  <c r="C298" i="20"/>
  <c r="C258" i="20"/>
  <c r="C250" i="20"/>
  <c r="C178" i="20"/>
  <c r="C170" i="20"/>
  <c r="C134" i="20"/>
  <c r="C126" i="20"/>
  <c r="C110" i="20"/>
  <c r="C63" i="20"/>
  <c r="C55" i="20"/>
  <c r="C47" i="20"/>
  <c r="C157" i="20"/>
  <c r="D9" i="20"/>
  <c r="D239" i="20"/>
  <c r="C25" i="20"/>
  <c r="E85" i="20"/>
  <c r="E252" i="20"/>
  <c r="E21" i="20"/>
  <c r="E53" i="20"/>
  <c r="D88" i="20"/>
  <c r="D284" i="20"/>
  <c r="E144" i="20"/>
  <c r="E284" i="20"/>
  <c r="C293" i="20"/>
  <c r="C165" i="20"/>
  <c r="D33" i="20"/>
  <c r="D65" i="20"/>
  <c r="D220" i="20"/>
  <c r="D275" i="20"/>
  <c r="E329" i="20"/>
  <c r="D329" i="20"/>
  <c r="E321" i="20"/>
  <c r="D321" i="20"/>
  <c r="E313" i="20"/>
  <c r="D313" i="20"/>
  <c r="E305" i="20"/>
  <c r="D305" i="20"/>
  <c r="E298" i="20"/>
  <c r="D298" i="20"/>
  <c r="E290" i="20"/>
  <c r="D290" i="20"/>
  <c r="E282" i="20"/>
  <c r="D282" i="20"/>
  <c r="E274" i="20"/>
  <c r="D274" i="20"/>
  <c r="E266" i="20"/>
  <c r="D266" i="20"/>
  <c r="E258" i="20"/>
  <c r="D258" i="20"/>
  <c r="E250" i="20"/>
  <c r="D250" i="20"/>
  <c r="E242" i="20"/>
  <c r="L242" i="20" s="1"/>
  <c r="D242" i="20"/>
  <c r="E234" i="20"/>
  <c r="D234" i="20"/>
  <c r="E226" i="20"/>
  <c r="D226" i="20"/>
  <c r="E218" i="20"/>
  <c r="D218" i="20"/>
  <c r="E210" i="20"/>
  <c r="D210" i="20"/>
  <c r="E202" i="20"/>
  <c r="D202" i="20"/>
  <c r="E194" i="20"/>
  <c r="D194" i="20"/>
  <c r="E186" i="20"/>
  <c r="D186" i="20"/>
  <c r="E178" i="20"/>
  <c r="D178" i="20"/>
  <c r="E170" i="20"/>
  <c r="D170" i="20"/>
  <c r="E162" i="20"/>
  <c r="D162" i="20"/>
  <c r="E154" i="20"/>
  <c r="D154" i="20"/>
  <c r="E146" i="20"/>
  <c r="D146" i="20"/>
  <c r="E141" i="20"/>
  <c r="D141" i="20"/>
  <c r="E134" i="20"/>
  <c r="D134" i="20"/>
  <c r="E126" i="20"/>
  <c r="D126" i="20"/>
  <c r="E118" i="20"/>
  <c r="D118" i="20"/>
  <c r="E110" i="20"/>
  <c r="D110" i="20"/>
  <c r="E102" i="20"/>
  <c r="D102" i="20"/>
  <c r="E94" i="20"/>
  <c r="D94" i="20"/>
  <c r="E87" i="20"/>
  <c r="L87" i="20" s="1"/>
  <c r="D87" i="20"/>
  <c r="E79" i="20"/>
  <c r="D79" i="20"/>
  <c r="E71" i="20"/>
  <c r="D71" i="20"/>
  <c r="E63" i="20"/>
  <c r="D63" i="20"/>
  <c r="E55" i="20"/>
  <c r="D55" i="20"/>
  <c r="E47" i="20"/>
  <c r="D47" i="20"/>
  <c r="E39" i="20"/>
  <c r="D39" i="20"/>
  <c r="E31" i="20"/>
  <c r="D31" i="20"/>
  <c r="E23" i="20"/>
  <c r="D23" i="20"/>
  <c r="E15" i="20"/>
  <c r="D15" i="20"/>
  <c r="E7" i="20"/>
  <c r="D7" i="20"/>
  <c r="C7" i="20"/>
  <c r="C282" i="20"/>
  <c r="C218" i="20"/>
  <c r="C154" i="20"/>
  <c r="C94" i="20"/>
  <c r="C31" i="20"/>
  <c r="D252" i="20"/>
  <c r="E330" i="20"/>
  <c r="D330" i="20"/>
  <c r="E322" i="20"/>
  <c r="D322" i="20"/>
  <c r="E314" i="20"/>
  <c r="D314" i="20"/>
  <c r="E306" i="20"/>
  <c r="D306" i="20"/>
  <c r="E299" i="20"/>
  <c r="D299" i="20"/>
  <c r="E291" i="20"/>
  <c r="D291" i="20"/>
  <c r="E283" i="20"/>
  <c r="D283" i="20"/>
  <c r="E259" i="20"/>
  <c r="D259" i="20"/>
  <c r="E235" i="20"/>
  <c r="L235" i="20" s="1"/>
  <c r="D235" i="20"/>
  <c r="E211" i="20"/>
  <c r="E187" i="20"/>
  <c r="D187" i="20"/>
  <c r="E163" i="20"/>
  <c r="D163" i="20"/>
  <c r="E155" i="20"/>
  <c r="D155" i="20"/>
  <c r="E127" i="20"/>
  <c r="D127" i="20"/>
  <c r="E103" i="20"/>
  <c r="D103" i="20"/>
  <c r="E328" i="20"/>
  <c r="D328" i="20"/>
  <c r="C328" i="20"/>
  <c r="E304" i="20"/>
  <c r="L304" i="20" s="1"/>
  <c r="D304" i="20"/>
  <c r="C304" i="20"/>
  <c r="E289" i="20"/>
  <c r="D289" i="20"/>
  <c r="C289" i="20"/>
  <c r="E273" i="20"/>
  <c r="D273" i="20"/>
  <c r="C273" i="20"/>
  <c r="E249" i="20"/>
  <c r="D249" i="20"/>
  <c r="C249" i="20"/>
  <c r="E233" i="20"/>
  <c r="D233" i="20"/>
  <c r="C233" i="20"/>
  <c r="E217" i="20"/>
  <c r="D217" i="20"/>
  <c r="C217" i="20"/>
  <c r="E201" i="20"/>
  <c r="D201" i="20"/>
  <c r="C201" i="20"/>
  <c r="E185" i="20"/>
  <c r="D185" i="20"/>
  <c r="C185" i="20"/>
  <c r="E169" i="20"/>
  <c r="D169" i="20"/>
  <c r="C169" i="20"/>
  <c r="E161" i="20"/>
  <c r="D161" i="20"/>
  <c r="C161" i="20"/>
  <c r="E145" i="20"/>
  <c r="D145" i="20"/>
  <c r="C145" i="20"/>
  <c r="E133" i="20"/>
  <c r="D133" i="20"/>
  <c r="C133" i="20"/>
  <c r="E117" i="20"/>
  <c r="D117" i="20"/>
  <c r="C117" i="20"/>
  <c r="E101" i="20"/>
  <c r="D101" i="20"/>
  <c r="C101" i="20"/>
  <c r="E93" i="20"/>
  <c r="D93" i="20"/>
  <c r="C93" i="20"/>
  <c r="E78" i="20"/>
  <c r="D78" i="20"/>
  <c r="C78" i="20"/>
  <c r="E70" i="20"/>
  <c r="D70" i="20"/>
  <c r="C70" i="20"/>
  <c r="E62" i="20"/>
  <c r="D62" i="20"/>
  <c r="C62" i="20"/>
  <c r="E46" i="20"/>
  <c r="D46" i="20"/>
  <c r="C46" i="20"/>
  <c r="E38" i="20"/>
  <c r="D38" i="20"/>
  <c r="C38" i="20"/>
  <c r="E30" i="20"/>
  <c r="D30" i="20"/>
  <c r="C30" i="20"/>
  <c r="E22" i="20"/>
  <c r="D22" i="20"/>
  <c r="C22" i="20"/>
  <c r="E14" i="20"/>
  <c r="D14" i="20"/>
  <c r="C14" i="20"/>
  <c r="E6" i="20"/>
  <c r="D6" i="20"/>
  <c r="C235" i="20"/>
  <c r="E311" i="20"/>
  <c r="D311" i="20"/>
  <c r="C311" i="20"/>
  <c r="E288" i="20"/>
  <c r="D288" i="20"/>
  <c r="C288" i="20"/>
  <c r="C264" i="20"/>
  <c r="E264" i="20"/>
  <c r="C240" i="20"/>
  <c r="D240" i="20"/>
  <c r="E224" i="20"/>
  <c r="L224" i="20" s="1"/>
  <c r="D224" i="20"/>
  <c r="C224" i="20"/>
  <c r="C200" i="20"/>
  <c r="E200" i="20"/>
  <c r="D184" i="20"/>
  <c r="C184" i="20"/>
  <c r="C168" i="20"/>
  <c r="E168" i="20"/>
  <c r="C275" i="20"/>
  <c r="C147" i="20"/>
  <c r="E3" i="20"/>
  <c r="C3" i="20"/>
  <c r="E326" i="20"/>
  <c r="D326" i="20"/>
  <c r="C326" i="20"/>
  <c r="E318" i="20"/>
  <c r="L318" i="20" s="1"/>
  <c r="C318" i="20"/>
  <c r="E310" i="20"/>
  <c r="C310" i="20"/>
  <c r="E295" i="20"/>
  <c r="D295" i="20"/>
  <c r="C295" i="20"/>
  <c r="E287" i="20"/>
  <c r="C287" i="20"/>
  <c r="D287" i="20"/>
  <c r="E279" i="20"/>
  <c r="D279" i="20"/>
  <c r="C279" i="20"/>
  <c r="E271" i="20"/>
  <c r="C271" i="20"/>
  <c r="E263" i="20"/>
  <c r="C263" i="20"/>
  <c r="E255" i="20"/>
  <c r="C255" i="20"/>
  <c r="D255" i="20"/>
  <c r="E247" i="20"/>
  <c r="L247" i="20" s="1"/>
  <c r="D247" i="20"/>
  <c r="C247" i="20"/>
  <c r="C314" i="20"/>
  <c r="C274" i="20"/>
  <c r="C210" i="20"/>
  <c r="C187" i="20"/>
  <c r="C146" i="20"/>
  <c r="C127" i="20"/>
  <c r="C87" i="20"/>
  <c r="C23" i="20"/>
  <c r="D96" i="20"/>
  <c r="D263" i="20"/>
  <c r="E293" i="20"/>
  <c r="E319" i="20"/>
  <c r="D319" i="20"/>
  <c r="C319" i="20"/>
  <c r="E303" i="20"/>
  <c r="L303" i="20" s="1"/>
  <c r="D303" i="20"/>
  <c r="C303" i="20"/>
  <c r="D280" i="20"/>
  <c r="C280" i="20"/>
  <c r="E256" i="20"/>
  <c r="D256" i="20"/>
  <c r="C256" i="20"/>
  <c r="C232" i="20"/>
  <c r="E232" i="20"/>
  <c r="D216" i="20"/>
  <c r="C216" i="20"/>
  <c r="E192" i="20"/>
  <c r="D192" i="20"/>
  <c r="C192" i="20"/>
  <c r="C176" i="20"/>
  <c r="D176" i="20"/>
  <c r="E333" i="20"/>
  <c r="D333" i="20"/>
  <c r="C333" i="20"/>
  <c r="E325" i="20"/>
  <c r="D325" i="20"/>
  <c r="C325" i="20"/>
  <c r="E317" i="20"/>
  <c r="D317" i="20"/>
  <c r="C317" i="20"/>
  <c r="E309" i="20"/>
  <c r="D309" i="20"/>
  <c r="C309" i="20"/>
  <c r="E302" i="20"/>
  <c r="D302" i="20"/>
  <c r="C302" i="20"/>
  <c r="E294" i="20"/>
  <c r="C294" i="20"/>
  <c r="D294" i="20"/>
  <c r="E278" i="20"/>
  <c r="D278" i="20"/>
  <c r="C278" i="20"/>
  <c r="E270" i="20"/>
  <c r="D270" i="20"/>
  <c r="C270" i="20"/>
  <c r="E262" i="20"/>
  <c r="D262" i="20"/>
  <c r="C262" i="20"/>
  <c r="C291" i="20"/>
  <c r="C163" i="20"/>
  <c r="C103" i="20"/>
  <c r="D128" i="20"/>
  <c r="D264" i="20"/>
  <c r="D310" i="20"/>
  <c r="E267" i="20"/>
  <c r="D267" i="20"/>
  <c r="E251" i="20"/>
  <c r="D251" i="20"/>
  <c r="E227" i="20"/>
  <c r="L227" i="20" s="1"/>
  <c r="D227" i="20"/>
  <c r="E203" i="20"/>
  <c r="D203" i="20"/>
  <c r="E195" i="20"/>
  <c r="D195" i="20"/>
  <c r="E171" i="20"/>
  <c r="D171" i="20"/>
  <c r="E147" i="20"/>
  <c r="E111" i="20"/>
  <c r="D111" i="20"/>
  <c r="E320" i="20"/>
  <c r="D320" i="20"/>
  <c r="C320" i="20"/>
  <c r="E312" i="20"/>
  <c r="D312" i="20"/>
  <c r="C312" i="20"/>
  <c r="E297" i="20"/>
  <c r="D297" i="20"/>
  <c r="C297" i="20"/>
  <c r="E281" i="20"/>
  <c r="D281" i="20"/>
  <c r="C281" i="20"/>
  <c r="E265" i="20"/>
  <c r="D265" i="20"/>
  <c r="C265" i="20"/>
  <c r="E257" i="20"/>
  <c r="D257" i="20"/>
  <c r="C257" i="20"/>
  <c r="E241" i="20"/>
  <c r="L241" i="20" s="1"/>
  <c r="D241" i="20"/>
  <c r="C241" i="20"/>
  <c r="E225" i="20"/>
  <c r="L225" i="20" s="1"/>
  <c r="D225" i="20"/>
  <c r="C225" i="20"/>
  <c r="E209" i="20"/>
  <c r="D209" i="20"/>
  <c r="C209" i="20"/>
  <c r="E193" i="20"/>
  <c r="D193" i="20"/>
  <c r="C193" i="20"/>
  <c r="E177" i="20"/>
  <c r="D177" i="20"/>
  <c r="C177" i="20"/>
  <c r="E153" i="20"/>
  <c r="D153" i="20"/>
  <c r="C153" i="20"/>
  <c r="E140" i="20"/>
  <c r="D140" i="20"/>
  <c r="C140" i="20"/>
  <c r="E125" i="20"/>
  <c r="D125" i="20"/>
  <c r="C125" i="20"/>
  <c r="E109" i="20"/>
  <c r="D109" i="20"/>
  <c r="C109" i="20"/>
  <c r="E86" i="20"/>
  <c r="D86" i="20"/>
  <c r="C86" i="20"/>
  <c r="E54" i="20"/>
  <c r="D54" i="20"/>
  <c r="C54" i="20"/>
  <c r="C299" i="20"/>
  <c r="E327" i="20"/>
  <c r="D327" i="20"/>
  <c r="C327" i="20"/>
  <c r="E296" i="20"/>
  <c r="D296" i="20"/>
  <c r="C296" i="20"/>
  <c r="C272" i="20"/>
  <c r="D272" i="20"/>
  <c r="D248" i="20"/>
  <c r="C248" i="20"/>
  <c r="C208" i="20"/>
  <c r="D208" i="20"/>
  <c r="C211" i="20"/>
  <c r="D200" i="20"/>
  <c r="C227" i="20"/>
  <c r="E332" i="20"/>
  <c r="D332" i="20"/>
  <c r="E324" i="20"/>
  <c r="D324" i="20"/>
  <c r="E316" i="20"/>
  <c r="D316" i="20"/>
  <c r="E308" i="20"/>
  <c r="L308" i="20" s="1"/>
  <c r="D308" i="20"/>
  <c r="E301" i="20"/>
  <c r="D301" i="20"/>
  <c r="C330" i="20"/>
  <c r="C308" i="20"/>
  <c r="C290" i="20"/>
  <c r="C267" i="20"/>
  <c r="C226" i="20"/>
  <c r="C203" i="20"/>
  <c r="C162" i="20"/>
  <c r="C102" i="20"/>
  <c r="C39" i="20"/>
  <c r="E184" i="20"/>
  <c r="D211" i="20"/>
  <c r="E240" i="20"/>
  <c r="L240" i="20" s="1"/>
  <c r="D271" i="20"/>
  <c r="D318" i="20"/>
  <c r="E219" i="20"/>
  <c r="D219" i="20"/>
  <c r="E179" i="20"/>
  <c r="E119" i="20"/>
  <c r="C171" i="20"/>
  <c r="E286" i="20"/>
  <c r="D286" i="20"/>
  <c r="C286" i="20"/>
  <c r="E331" i="20"/>
  <c r="D331" i="20"/>
  <c r="C331" i="20"/>
  <c r="E323" i="20"/>
  <c r="D323" i="20"/>
  <c r="C323" i="20"/>
  <c r="E315" i="20"/>
  <c r="D315" i="20"/>
  <c r="C315" i="20"/>
  <c r="E307" i="20"/>
  <c r="D307" i="20"/>
  <c r="C307" i="20"/>
  <c r="E300" i="20"/>
  <c r="D300" i="20"/>
  <c r="C300" i="20"/>
  <c r="D292" i="20"/>
  <c r="E292" i="20"/>
  <c r="C292" i="20"/>
  <c r="E276" i="20"/>
  <c r="D276" i="20"/>
  <c r="C276" i="20"/>
  <c r="E268" i="20"/>
  <c r="D268" i="20"/>
  <c r="C268" i="20"/>
  <c r="E260" i="20"/>
  <c r="C260" i="20"/>
  <c r="E244" i="20"/>
  <c r="L244" i="20" s="1"/>
  <c r="D244" i="20"/>
  <c r="C244" i="20"/>
  <c r="E236" i="20"/>
  <c r="L236" i="20" s="1"/>
  <c r="D236" i="20"/>
  <c r="C236" i="20"/>
  <c r="E228" i="20"/>
  <c r="C228" i="20"/>
  <c r="C220" i="20"/>
  <c r="E212" i="20"/>
  <c r="D212" i="20"/>
  <c r="C212" i="20"/>
  <c r="E204" i="20"/>
  <c r="D204" i="20"/>
  <c r="C204" i="20"/>
  <c r="E196" i="20"/>
  <c r="C196" i="20"/>
  <c r="C188" i="20"/>
  <c r="E180" i="20"/>
  <c r="D180" i="20"/>
  <c r="C180" i="20"/>
  <c r="E172" i="20"/>
  <c r="D172" i="20"/>
  <c r="C172" i="20"/>
  <c r="E164" i="20"/>
  <c r="C164" i="20"/>
  <c r="C156" i="20"/>
  <c r="E148" i="20"/>
  <c r="D148" i="20"/>
  <c r="C148" i="20"/>
  <c r="E135" i="20"/>
  <c r="C135" i="20"/>
  <c r="C128" i="20"/>
  <c r="E120" i="20"/>
  <c r="D120" i="20"/>
  <c r="C120" i="20"/>
  <c r="E112" i="20"/>
  <c r="D112" i="20"/>
  <c r="C112" i="20"/>
  <c r="E104" i="20"/>
  <c r="C104" i="20"/>
  <c r="C96" i="20"/>
  <c r="E81" i="20"/>
  <c r="D81" i="20"/>
  <c r="C81" i="20"/>
  <c r="E73" i="20"/>
  <c r="C73" i="20"/>
  <c r="C65" i="20"/>
  <c r="E57" i="20"/>
  <c r="D57" i="20"/>
  <c r="C57" i="20"/>
  <c r="E49" i="20"/>
  <c r="D49" i="20"/>
  <c r="C49" i="20"/>
  <c r="E41" i="20"/>
  <c r="C41" i="20"/>
  <c r="E26" i="20"/>
  <c r="D26" i="20"/>
  <c r="C26" i="20"/>
  <c r="E17" i="20"/>
  <c r="D17" i="20"/>
  <c r="C17" i="20"/>
  <c r="E9" i="20"/>
  <c r="C329" i="20"/>
  <c r="C306" i="20"/>
  <c r="C266" i="20"/>
  <c r="C243" i="20"/>
  <c r="C202" i="20"/>
  <c r="C179" i="20"/>
  <c r="C141" i="20"/>
  <c r="C119" i="20"/>
  <c r="C79" i="20"/>
  <c r="C15" i="20"/>
  <c r="D135" i="20"/>
  <c r="E156" i="20"/>
  <c r="D188" i="20"/>
  <c r="E216" i="20"/>
  <c r="D243" i="20"/>
  <c r="E272" i="20"/>
  <c r="E95" i="20"/>
  <c r="E88" i="20"/>
  <c r="E80" i="20"/>
  <c r="E72" i="20"/>
  <c r="E64" i="20"/>
  <c r="E56" i="20"/>
  <c r="E48" i="20"/>
  <c r="E40" i="20"/>
  <c r="E25" i="20"/>
  <c r="E16" i="20"/>
  <c r="L16" i="20" s="1"/>
  <c r="E8" i="20"/>
  <c r="C8" i="20"/>
  <c r="D32" i="20"/>
  <c r="D64" i="20"/>
  <c r="D95" i="20"/>
  <c r="C5" i="20"/>
  <c r="E13" i="20"/>
  <c r="L13" i="20" s="1"/>
  <c r="E45" i="20"/>
  <c r="E77" i="20"/>
  <c r="E108" i="20"/>
  <c r="E139" i="20"/>
  <c r="E231" i="20"/>
  <c r="E223" i="20"/>
  <c r="E215" i="20"/>
  <c r="E207" i="20"/>
  <c r="E199" i="20"/>
  <c r="E191" i="20"/>
  <c r="E183" i="20"/>
  <c r="E175" i="20"/>
  <c r="E167" i="20"/>
  <c r="E159" i="20"/>
  <c r="E151" i="20"/>
  <c r="E143" i="20"/>
  <c r="E138" i="20"/>
  <c r="E131" i="20"/>
  <c r="E123" i="20"/>
  <c r="E115" i="20"/>
  <c r="E107" i="20"/>
  <c r="E99" i="20"/>
  <c r="E91" i="20"/>
  <c r="E84" i="20"/>
  <c r="E76" i="20"/>
  <c r="E68" i="20"/>
  <c r="E60" i="20"/>
  <c r="E52" i="20"/>
  <c r="E44" i="20"/>
  <c r="E36" i="20"/>
  <c r="L36" i="20" s="1"/>
  <c r="E28" i="20"/>
  <c r="E20" i="20"/>
  <c r="E12" i="20"/>
  <c r="C4" i="20"/>
  <c r="E4" i="20"/>
  <c r="C160" i="20"/>
  <c r="C152" i="20"/>
  <c r="C144" i="20"/>
  <c r="C139" i="20"/>
  <c r="C132" i="20"/>
  <c r="C124" i="20"/>
  <c r="C116" i="20"/>
  <c r="C108" i="20"/>
  <c r="C100" i="20"/>
  <c r="C92" i="20"/>
  <c r="C85" i="20"/>
  <c r="C77" i="20"/>
  <c r="C69" i="20"/>
  <c r="C61" i="20"/>
  <c r="C53" i="20"/>
  <c r="C45" i="20"/>
  <c r="C37" i="20"/>
  <c r="C29" i="20"/>
  <c r="C21" i="20"/>
  <c r="C13" i="20"/>
  <c r="D5" i="20"/>
  <c r="D16" i="20"/>
  <c r="D37" i="20"/>
  <c r="D48" i="20"/>
  <c r="D69" i="20"/>
  <c r="D80" i="20"/>
  <c r="D100" i="20"/>
  <c r="D132" i="20"/>
  <c r="D160" i="20"/>
  <c r="E254" i="20"/>
  <c r="D254" i="20"/>
  <c r="E246" i="20"/>
  <c r="D246" i="20"/>
  <c r="E238" i="20"/>
  <c r="L238" i="20" s="1"/>
  <c r="D238" i="20"/>
  <c r="E230" i="20"/>
  <c r="D230" i="20"/>
  <c r="E222" i="20"/>
  <c r="D222" i="20"/>
  <c r="E214" i="20"/>
  <c r="D214" i="20"/>
  <c r="E206" i="20"/>
  <c r="D206" i="20"/>
  <c r="E198" i="20"/>
  <c r="D198" i="20"/>
  <c r="E190" i="20"/>
  <c r="D190" i="20"/>
  <c r="E182" i="20"/>
  <c r="D182" i="20"/>
  <c r="E174" i="20"/>
  <c r="D174" i="20"/>
  <c r="E166" i="20"/>
  <c r="D166" i="20"/>
  <c r="E158" i="20"/>
  <c r="D158" i="20"/>
  <c r="E150" i="20"/>
  <c r="D150" i="20"/>
  <c r="E142" i="20"/>
  <c r="D142" i="20"/>
  <c r="E137" i="20"/>
  <c r="D137" i="20"/>
  <c r="E130" i="20"/>
  <c r="D130" i="20"/>
  <c r="E122" i="20"/>
  <c r="D122" i="20"/>
  <c r="E114" i="20"/>
  <c r="D114" i="20"/>
  <c r="E106" i="20"/>
  <c r="D106" i="20"/>
  <c r="E98" i="20"/>
  <c r="D98" i="20"/>
  <c r="E90" i="20"/>
  <c r="D90" i="20"/>
  <c r="E83" i="20"/>
  <c r="D83" i="20"/>
  <c r="E75" i="20"/>
  <c r="D75" i="20"/>
  <c r="E67" i="20"/>
  <c r="D67" i="20"/>
  <c r="E59" i="20"/>
  <c r="D59" i="20"/>
  <c r="E51" i="20"/>
  <c r="D51" i="20"/>
  <c r="E43" i="20"/>
  <c r="D43" i="20"/>
  <c r="E35" i="20"/>
  <c r="L35" i="20" s="1"/>
  <c r="D35" i="20"/>
  <c r="E19" i="20"/>
  <c r="D19" i="20"/>
  <c r="E11" i="20"/>
  <c r="C239" i="20"/>
  <c r="C231" i="20"/>
  <c r="C223" i="20"/>
  <c r="C215" i="20"/>
  <c r="C207" i="20"/>
  <c r="C199" i="20"/>
  <c r="C191" i="20"/>
  <c r="C183" i="20"/>
  <c r="C175" i="20"/>
  <c r="C167" i="20"/>
  <c r="C159" i="20"/>
  <c r="C151" i="20"/>
  <c r="C143" i="20"/>
  <c r="C138" i="20"/>
  <c r="C131" i="20"/>
  <c r="C123" i="20"/>
  <c r="C115" i="20"/>
  <c r="C107" i="20"/>
  <c r="C99" i="20"/>
  <c r="C91" i="20"/>
  <c r="C84" i="20"/>
  <c r="C76" i="20"/>
  <c r="C68" i="20"/>
  <c r="C60" i="20"/>
  <c r="C52" i="20"/>
  <c r="C44" i="20"/>
  <c r="C36" i="20"/>
  <c r="C28" i="20"/>
  <c r="C20" i="20"/>
  <c r="C12" i="20"/>
  <c r="E5" i="20"/>
  <c r="D28" i="20"/>
  <c r="E37" i="20"/>
  <c r="D60" i="20"/>
  <c r="E69" i="20"/>
  <c r="D91" i="20"/>
  <c r="E100" i="20"/>
  <c r="D123" i="20"/>
  <c r="E132" i="20"/>
  <c r="D151" i="20"/>
  <c r="E160" i="20"/>
  <c r="L160" i="20" s="1"/>
  <c r="D183" i="20"/>
  <c r="D215" i="20"/>
  <c r="E285" i="20"/>
  <c r="D285" i="20"/>
  <c r="E277" i="20"/>
  <c r="D277" i="20"/>
  <c r="E269" i="20"/>
  <c r="D269" i="20"/>
  <c r="E261" i="20"/>
  <c r="L261" i="20" s="1"/>
  <c r="D261" i="20"/>
  <c r="E253" i="20"/>
  <c r="D253" i="20"/>
  <c r="E245" i="20"/>
  <c r="D245" i="20"/>
  <c r="E237" i="20"/>
  <c r="D237" i="20"/>
  <c r="E229" i="20"/>
  <c r="D229" i="20"/>
  <c r="E221" i="20"/>
  <c r="D221" i="20"/>
  <c r="E213" i="20"/>
  <c r="D213" i="20"/>
  <c r="E205" i="20"/>
  <c r="D205" i="20"/>
  <c r="E197" i="20"/>
  <c r="D197" i="20"/>
  <c r="E189" i="20"/>
  <c r="D189" i="20"/>
  <c r="E181" i="20"/>
  <c r="D181" i="20"/>
  <c r="E173" i="20"/>
  <c r="D173" i="20"/>
  <c r="E165" i="20"/>
  <c r="D165" i="20"/>
  <c r="E157" i="20"/>
  <c r="D157" i="20"/>
  <c r="E149" i="20"/>
  <c r="D149" i="20"/>
  <c r="E136" i="20"/>
  <c r="D136" i="20"/>
  <c r="E129" i="20"/>
  <c r="D129" i="20"/>
  <c r="E121" i="20"/>
  <c r="D121" i="20"/>
  <c r="E113" i="20"/>
  <c r="D113" i="20"/>
  <c r="E105" i="20"/>
  <c r="D105" i="20"/>
  <c r="E97" i="20"/>
  <c r="D97" i="20"/>
  <c r="E89" i="20"/>
  <c r="D89" i="20"/>
  <c r="E82" i="20"/>
  <c r="D82" i="20"/>
  <c r="E74" i="20"/>
  <c r="D74" i="20"/>
  <c r="E66" i="20"/>
  <c r="D66" i="20"/>
  <c r="E58" i="20"/>
  <c r="D58" i="20"/>
  <c r="E50" i="20"/>
  <c r="D50" i="20"/>
  <c r="E42" i="20"/>
  <c r="E34" i="20"/>
  <c r="L34" i="20" s="1"/>
  <c r="D34" i="20"/>
  <c r="E27" i="20"/>
  <c r="D27" i="20"/>
  <c r="E18" i="20"/>
  <c r="D18" i="20"/>
  <c r="C10" i="20"/>
  <c r="E10" i="20"/>
  <c r="D10" i="20"/>
  <c r="C254" i="20"/>
  <c r="C246" i="20"/>
  <c r="C238" i="20"/>
  <c r="C230" i="20"/>
  <c r="C222" i="20"/>
  <c r="C214" i="20"/>
  <c r="C206" i="20"/>
  <c r="C198" i="20"/>
  <c r="C190" i="20"/>
  <c r="C182" i="20"/>
  <c r="C174" i="20"/>
  <c r="C166" i="20"/>
  <c r="C158" i="20"/>
  <c r="C150" i="20"/>
  <c r="C142" i="20"/>
  <c r="C137" i="20"/>
  <c r="C130" i="20"/>
  <c r="C122" i="20"/>
  <c r="C114" i="20"/>
  <c r="C106" i="20"/>
  <c r="C98" i="20"/>
  <c r="C90" i="20"/>
  <c r="C83" i="20"/>
  <c r="C75" i="20"/>
  <c r="C67" i="20"/>
  <c r="C59" i="20"/>
  <c r="C51" i="20"/>
  <c r="C43" i="20"/>
  <c r="C35" i="20"/>
  <c r="C19" i="20"/>
  <c r="C11" i="20"/>
  <c r="D8" i="20"/>
  <c r="D29" i="20"/>
  <c r="D40" i="20"/>
  <c r="D61" i="20"/>
  <c r="D72" i="20"/>
  <c r="D92" i="20"/>
  <c r="D124" i="20"/>
  <c r="D152" i="20"/>
  <c r="K144" i="25" l="1"/>
  <c r="K236" i="25"/>
  <c r="K128" i="25"/>
  <c r="N7" i="20"/>
  <c r="N297" i="20"/>
  <c r="N270" i="20"/>
  <c r="N292" i="20"/>
  <c r="K159" i="25"/>
  <c r="K240" i="25"/>
  <c r="K175" i="25"/>
  <c r="K141" i="25"/>
  <c r="K221" i="25"/>
  <c r="K188" i="25"/>
  <c r="K246" i="25"/>
  <c r="K179" i="25"/>
  <c r="K216" i="25"/>
  <c r="K151" i="25"/>
  <c r="K193" i="25"/>
  <c r="K180" i="25"/>
  <c r="K254" i="25"/>
  <c r="K226" i="25"/>
  <c r="K139" i="25"/>
  <c r="K259" i="25"/>
  <c r="K244" i="25"/>
  <c r="K153" i="25"/>
  <c r="K149" i="25"/>
  <c r="K203" i="25"/>
  <c r="K214" i="25"/>
  <c r="K201" i="25"/>
  <c r="K209" i="25"/>
  <c r="K211" i="25"/>
  <c r="K256" i="25"/>
  <c r="K169" i="25"/>
  <c r="K129" i="25"/>
  <c r="K140" i="25"/>
  <c r="K146" i="25"/>
  <c r="K131" i="25"/>
  <c r="K197" i="25"/>
  <c r="K241" i="25"/>
  <c r="I132" i="25"/>
  <c r="K134" i="25"/>
  <c r="K233" i="25"/>
  <c r="K183" i="25"/>
  <c r="K250" i="25"/>
  <c r="K218" i="25"/>
  <c r="K127" i="25"/>
  <c r="K200" i="25"/>
  <c r="K178" i="25"/>
  <c r="K163" i="25"/>
  <c r="K194" i="25"/>
  <c r="K172" i="25"/>
  <c r="K220" i="25"/>
  <c r="K162" i="25"/>
  <c r="K132" i="25"/>
  <c r="K230" i="25"/>
  <c r="K181" i="25"/>
  <c r="K222" i="25"/>
  <c r="K227" i="25"/>
  <c r="K215" i="25"/>
  <c r="K237" i="25"/>
  <c r="K177" i="25"/>
  <c r="K239" i="25"/>
  <c r="K147" i="25"/>
  <c r="K195" i="25"/>
  <c r="K182" i="25"/>
  <c r="K167" i="25"/>
  <c r="K155" i="25"/>
  <c r="K204" i="25"/>
  <c r="K231" i="25"/>
  <c r="K257" i="25"/>
  <c r="K223" i="25"/>
  <c r="K243" i="25"/>
  <c r="K248" i="25"/>
  <c r="K253" i="25"/>
  <c r="K174" i="25"/>
  <c r="K137" i="25"/>
  <c r="K168" i="25"/>
  <c r="K165" i="25"/>
  <c r="K224" i="25"/>
  <c r="K213" i="25"/>
  <c r="K198" i="25"/>
  <c r="K229" i="25"/>
  <c r="K242" i="25"/>
  <c r="K133" i="25"/>
  <c r="K258" i="25"/>
  <c r="K196" i="25"/>
  <c r="L126" i="25"/>
  <c r="K219" i="25"/>
  <c r="K171" i="25"/>
  <c r="K138" i="25"/>
  <c r="K235" i="25"/>
  <c r="K255" i="25"/>
  <c r="K154" i="25"/>
  <c r="K232" i="25"/>
  <c r="K238" i="25"/>
  <c r="K148" i="25"/>
  <c r="K136" i="25"/>
  <c r="K190" i="25"/>
  <c r="K205" i="25"/>
  <c r="K245" i="25"/>
  <c r="K186" i="25"/>
  <c r="K206" i="25"/>
  <c r="K210" i="25"/>
  <c r="K176" i="25"/>
  <c r="K228" i="25"/>
  <c r="K152" i="25"/>
  <c r="K187" i="25"/>
  <c r="K158" i="25"/>
  <c r="K161" i="25"/>
  <c r="K225" i="25"/>
  <c r="K156" i="25"/>
  <c r="K251" i="25"/>
  <c r="K166" i="25"/>
  <c r="K234" i="25"/>
  <c r="K143" i="25"/>
  <c r="K184" i="25"/>
  <c r="N4" i="20"/>
  <c r="N259" i="20"/>
  <c r="N291" i="20"/>
  <c r="K202" i="25"/>
  <c r="K126" i="25"/>
  <c r="K208" i="25"/>
  <c r="K157" i="25"/>
  <c r="K252" i="25"/>
  <c r="K185" i="25"/>
  <c r="K191" i="25"/>
  <c r="K249" i="25"/>
  <c r="N8" i="20"/>
  <c r="N278" i="20"/>
  <c r="N253" i="20"/>
  <c r="N6" i="20"/>
  <c r="O10" i="20"/>
  <c r="L10" i="20"/>
  <c r="O11" i="20"/>
  <c r="L11" i="20"/>
  <c r="N271" i="20"/>
  <c r="L9" i="20"/>
  <c r="O9" i="20"/>
  <c r="O5" i="20"/>
  <c r="L5" i="20"/>
  <c r="O17" i="20"/>
  <c r="L17" i="20"/>
  <c r="O19" i="20"/>
  <c r="L19" i="20"/>
  <c r="O22" i="20"/>
  <c r="L22" i="20"/>
  <c r="O3" i="20"/>
  <c r="L3" i="20"/>
  <c r="O8" i="20"/>
  <c r="L8" i="20"/>
  <c r="L21" i="20"/>
  <c r="O21" i="20"/>
  <c r="O4" i="20"/>
  <c r="L4" i="20"/>
  <c r="O7" i="20"/>
  <c r="L7" i="20"/>
  <c r="O18" i="20"/>
  <c r="L18" i="20"/>
  <c r="O20" i="20"/>
  <c r="L20" i="20"/>
  <c r="O23" i="20"/>
  <c r="L23" i="20"/>
  <c r="O6" i="20"/>
  <c r="L6" i="20"/>
  <c r="N9" i="20"/>
  <c r="N249" i="20"/>
  <c r="N240" i="20"/>
  <c r="N272" i="20"/>
  <c r="N293" i="20"/>
  <c r="N268" i="20"/>
  <c r="N290" i="20"/>
  <c r="N266" i="20"/>
  <c r="N241" i="20"/>
  <c r="N245" i="20"/>
  <c r="N251" i="20"/>
  <c r="N283" i="20"/>
  <c r="N301" i="20"/>
  <c r="N282" i="20"/>
  <c r="N300" i="20"/>
  <c r="N286" i="20"/>
  <c r="N289" i="20"/>
  <c r="N239" i="20"/>
  <c r="N238" i="20"/>
  <c r="N244" i="20"/>
  <c r="N302" i="20"/>
  <c r="N3" i="20"/>
  <c r="N248" i="20"/>
  <c r="N280" i="20"/>
  <c r="N265" i="20"/>
  <c r="N242" i="20"/>
  <c r="N274" i="20"/>
  <c r="N284" i="20"/>
  <c r="N246" i="20"/>
  <c r="N262" i="20"/>
  <c r="N260" i="20"/>
  <c r="T260" i="20" s="1"/>
  <c r="V260" i="20" s="1"/>
  <c r="N279" i="20"/>
  <c r="N294" i="20"/>
  <c r="N276" i="20"/>
  <c r="N254" i="20"/>
  <c r="N295" i="20"/>
  <c r="N277" i="20"/>
  <c r="N298" i="20"/>
  <c r="N247" i="20"/>
  <c r="N255" i="20"/>
  <c r="N287" i="20"/>
  <c r="N273" i="20"/>
  <c r="N285" i="20"/>
  <c r="N10" i="20"/>
  <c r="N267" i="20"/>
  <c r="N299" i="20"/>
  <c r="N263" i="20"/>
  <c r="N296" i="20"/>
  <c r="N261" i="20"/>
  <c r="N257" i="20"/>
  <c r="N269" i="20"/>
  <c r="N256" i="20"/>
  <c r="N288" i="20"/>
  <c r="N281" i="20"/>
  <c r="N250" i="20"/>
  <c r="N264" i="20"/>
  <c r="N258" i="20"/>
  <c r="N252" i="20"/>
  <c r="N5" i="20"/>
  <c r="N243" i="20"/>
  <c r="N275" i="20"/>
  <c r="N11" i="20"/>
  <c r="J13" i="20"/>
  <c r="G127" i="25"/>
  <c r="F27" i="4"/>
  <c r="F128" i="25"/>
  <c r="J134" i="25"/>
  <c r="G129" i="25"/>
  <c r="J20" i="20"/>
  <c r="M15" i="20"/>
  <c r="Q15" i="20" s="1"/>
  <c r="J129" i="25"/>
  <c r="F19" i="12"/>
  <c r="G16" i="20"/>
  <c r="J19" i="20"/>
  <c r="H20" i="20"/>
  <c r="H24" i="20"/>
  <c r="J128" i="25"/>
  <c r="H131" i="25"/>
  <c r="I237" i="25"/>
  <c r="I127" i="25"/>
  <c r="G131" i="25"/>
  <c r="H19" i="20"/>
  <c r="G107" i="20"/>
  <c r="G24" i="20"/>
  <c r="F20" i="12"/>
  <c r="G17" i="20"/>
  <c r="C174" i="25"/>
  <c r="J16" i="20"/>
  <c r="I19" i="20"/>
  <c r="K19" i="20" s="1"/>
  <c r="M14" i="20"/>
  <c r="Q14" i="20" s="1"/>
  <c r="M16" i="20"/>
  <c r="Q16" i="20" s="1"/>
  <c r="G134" i="25"/>
  <c r="F32" i="4"/>
  <c r="F19" i="14" s="1"/>
  <c r="F131" i="25"/>
  <c r="I17" i="20"/>
  <c r="K17" i="20" s="1"/>
  <c r="G132" i="25"/>
  <c r="I133" i="25"/>
  <c r="H88" i="20"/>
  <c r="G175" i="25"/>
  <c r="I16" i="20"/>
  <c r="K16" i="20" s="1"/>
  <c r="J17" i="20"/>
  <c r="M13" i="20"/>
  <c r="Q13" i="20" s="1"/>
  <c r="M24" i="20"/>
  <c r="Q24" i="20" s="1"/>
  <c r="J126" i="25"/>
  <c r="F18" i="12"/>
  <c r="G134" i="20"/>
  <c r="J15" i="20"/>
  <c r="H16" i="20"/>
  <c r="H17" i="20"/>
  <c r="I134" i="25"/>
  <c r="H128" i="25"/>
  <c r="F134" i="25"/>
  <c r="G126" i="25"/>
  <c r="D134" i="25"/>
  <c r="H15" i="20"/>
  <c r="M23" i="20"/>
  <c r="Q23" i="20" s="1"/>
  <c r="J24" i="20"/>
  <c r="F21" i="12"/>
  <c r="J23" i="20"/>
  <c r="J18" i="20"/>
  <c r="F25" i="4"/>
  <c r="F33" i="4"/>
  <c r="H127" i="25"/>
  <c r="C140" i="25"/>
  <c r="H23" i="20"/>
  <c r="G13" i="20"/>
  <c r="H18" i="20"/>
  <c r="H126" i="25"/>
  <c r="F126" i="25"/>
  <c r="J131" i="25"/>
  <c r="H13" i="20"/>
  <c r="F26" i="4"/>
  <c r="J132" i="25"/>
  <c r="J133" i="25"/>
  <c r="I23" i="20"/>
  <c r="K23" i="20" s="1"/>
  <c r="I214" i="25"/>
  <c r="J21" i="20"/>
  <c r="E134" i="25"/>
  <c r="F133" i="25"/>
  <c r="F34" i="4"/>
  <c r="F18" i="13"/>
  <c r="M18" i="20"/>
  <c r="Q18" i="20" s="1"/>
  <c r="M19" i="20"/>
  <c r="Q19" i="20" s="1"/>
  <c r="I129" i="25"/>
  <c r="G149" i="20"/>
  <c r="I35" i="20"/>
  <c r="K35" i="20" s="1"/>
  <c r="J12" i="20"/>
  <c r="H21" i="20"/>
  <c r="F132" i="25"/>
  <c r="H134" i="25"/>
  <c r="C127" i="25"/>
  <c r="C131" i="25"/>
  <c r="I12" i="20"/>
  <c r="K12" i="20" s="1"/>
  <c r="F29" i="4"/>
  <c r="J127" i="25"/>
  <c r="H133" i="25"/>
  <c r="M20" i="20"/>
  <c r="Q20" i="20" s="1"/>
  <c r="G128" i="25"/>
  <c r="C132" i="25"/>
  <c r="J14" i="20"/>
  <c r="G136" i="25"/>
  <c r="H129" i="25"/>
  <c r="F35" i="4"/>
  <c r="F24" i="4"/>
  <c r="M22" i="20"/>
  <c r="Q22" i="20" s="1"/>
  <c r="I131" i="25"/>
  <c r="H12" i="20"/>
  <c r="C129" i="25"/>
  <c r="C133" i="25"/>
  <c r="C134" i="25"/>
  <c r="H14" i="20"/>
  <c r="I24" i="20"/>
  <c r="K24" i="20" s="1"/>
  <c r="F30" i="4"/>
  <c r="F36" i="4"/>
  <c r="F22" i="14" s="1"/>
  <c r="I126" i="25"/>
  <c r="H132" i="25"/>
  <c r="F18" i="9"/>
  <c r="M21" i="20"/>
  <c r="Q21" i="20" s="1"/>
  <c r="I18" i="20"/>
  <c r="K18" i="20" s="1"/>
  <c r="G23" i="20"/>
  <c r="J22" i="20"/>
  <c r="I128" i="25"/>
  <c r="C126" i="25"/>
  <c r="I233" i="25"/>
  <c r="H22" i="20"/>
  <c r="F129" i="25"/>
  <c r="F18" i="10"/>
  <c r="G18" i="20"/>
  <c r="M12" i="20"/>
  <c r="Q12" i="20" s="1"/>
  <c r="M17" i="20"/>
  <c r="Q17" i="20" s="1"/>
  <c r="F31" i="4"/>
  <c r="F18" i="11"/>
  <c r="G133" i="25"/>
  <c r="G19" i="20"/>
  <c r="F127" i="25"/>
  <c r="G36" i="20"/>
  <c r="J60" i="20"/>
  <c r="J140" i="20"/>
  <c r="H188" i="20"/>
  <c r="G185" i="20"/>
  <c r="J59" i="20"/>
  <c r="J236" i="20"/>
  <c r="C208" i="25"/>
  <c r="J123" i="20"/>
  <c r="C179" i="25"/>
  <c r="J179" i="20"/>
  <c r="G128" i="20"/>
  <c r="I70" i="20"/>
  <c r="K70" i="20" s="1"/>
  <c r="J304" i="20"/>
  <c r="J229" i="20"/>
  <c r="M125" i="20"/>
  <c r="Q125" i="20" s="1"/>
  <c r="I239" i="25"/>
  <c r="G259" i="25"/>
  <c r="C219" i="25"/>
  <c r="G177" i="25"/>
  <c r="H129" i="20"/>
  <c r="J150" i="20"/>
  <c r="J152" i="20"/>
  <c r="J73" i="20"/>
  <c r="C229" i="25"/>
  <c r="G214" i="25"/>
  <c r="H208" i="20"/>
  <c r="H161" i="20"/>
  <c r="H39" i="20"/>
  <c r="H26" i="20"/>
  <c r="I255" i="25"/>
  <c r="I103" i="20"/>
  <c r="K103" i="20" s="1"/>
  <c r="J90" i="20"/>
  <c r="C165" i="25"/>
  <c r="I174" i="25"/>
  <c r="J167" i="20"/>
  <c r="H205" i="20"/>
  <c r="H138" i="20"/>
  <c r="G105" i="20"/>
  <c r="H231" i="20"/>
  <c r="J202" i="20"/>
  <c r="G54" i="20"/>
  <c r="I187" i="25"/>
  <c r="I42" i="20"/>
  <c r="K42" i="20" s="1"/>
  <c r="I171" i="25"/>
  <c r="C138" i="25"/>
  <c r="G141" i="25"/>
  <c r="I175" i="25"/>
  <c r="I95" i="20"/>
  <c r="K95" i="20" s="1"/>
  <c r="C213" i="25"/>
  <c r="G213" i="25"/>
  <c r="G72" i="20"/>
  <c r="I235" i="25"/>
  <c r="G226" i="25"/>
  <c r="G197" i="25"/>
  <c r="C258" i="25"/>
  <c r="I251" i="25"/>
  <c r="I158" i="25"/>
  <c r="G186" i="25"/>
  <c r="G176" i="25"/>
  <c r="I229" i="25"/>
  <c r="I144" i="25"/>
  <c r="I47" i="20"/>
  <c r="K47" i="20" s="1"/>
  <c r="J39" i="20"/>
  <c r="J103" i="20"/>
  <c r="H159" i="20"/>
  <c r="J231" i="20"/>
  <c r="J89" i="20"/>
  <c r="J181" i="20"/>
  <c r="J88" i="20"/>
  <c r="H144" i="20"/>
  <c r="J208" i="20"/>
  <c r="H304" i="20"/>
  <c r="H73" i="20"/>
  <c r="I161" i="20"/>
  <c r="K161" i="20" s="1"/>
  <c r="I26" i="20"/>
  <c r="K26" i="20" s="1"/>
  <c r="H82" i="20"/>
  <c r="J138" i="20"/>
  <c r="G202" i="20"/>
  <c r="H229" i="20"/>
  <c r="H118" i="20"/>
  <c r="H51" i="20"/>
  <c r="H115" i="20"/>
  <c r="G171" i="20"/>
  <c r="H36" i="20"/>
  <c r="G140" i="20"/>
  <c r="H228" i="20"/>
  <c r="J308" i="20"/>
  <c r="G150" i="20"/>
  <c r="J188" i="20"/>
  <c r="I306" i="20"/>
  <c r="K306" i="20" s="1"/>
  <c r="G244" i="25"/>
  <c r="M333" i="20"/>
  <c r="Q333" i="20" s="1"/>
  <c r="M147" i="20"/>
  <c r="Q147" i="20" s="1"/>
  <c r="M88" i="20"/>
  <c r="Q88" i="20" s="1"/>
  <c r="G228" i="25"/>
  <c r="G229" i="25"/>
  <c r="G221" i="25"/>
  <c r="M197" i="20"/>
  <c r="Q197" i="20" s="1"/>
  <c r="M213" i="20"/>
  <c r="Q213" i="20" s="1"/>
  <c r="M114" i="20"/>
  <c r="Q114" i="20" s="1"/>
  <c r="M75" i="20"/>
  <c r="Q75" i="20" s="1"/>
  <c r="G148" i="25"/>
  <c r="M38" i="20"/>
  <c r="Q38" i="20" s="1"/>
  <c r="M39" i="20"/>
  <c r="Q39" i="20" s="1"/>
  <c r="M60" i="20"/>
  <c r="Q60" i="20" s="1"/>
  <c r="M41" i="20"/>
  <c r="Q41" i="20" s="1"/>
  <c r="I138" i="25"/>
  <c r="I176" i="25"/>
  <c r="M321" i="20"/>
  <c r="Q321" i="20" s="1"/>
  <c r="M167" i="20"/>
  <c r="Q167" i="20" s="1"/>
  <c r="M108" i="20"/>
  <c r="Q108" i="20" s="1"/>
  <c r="I249" i="25"/>
  <c r="G250" i="25"/>
  <c r="M44" i="20"/>
  <c r="Q44" i="20" s="1"/>
  <c r="M103" i="20"/>
  <c r="Q103" i="20" s="1"/>
  <c r="M233" i="20"/>
  <c r="Q233" i="20" s="1"/>
  <c r="M134" i="20"/>
  <c r="Q134" i="20" s="1"/>
  <c r="M95" i="20"/>
  <c r="Q95" i="20" s="1"/>
  <c r="M36" i="20"/>
  <c r="Q36" i="20" s="1"/>
  <c r="M58" i="20"/>
  <c r="Q58" i="20" s="1"/>
  <c r="M59" i="20"/>
  <c r="Q59" i="20" s="1"/>
  <c r="M80" i="20"/>
  <c r="Q80" i="20" s="1"/>
  <c r="M61" i="20"/>
  <c r="Q61" i="20" s="1"/>
  <c r="M42" i="20"/>
  <c r="Q42" i="20" s="1"/>
  <c r="G39" i="20"/>
  <c r="H103" i="20"/>
  <c r="H167" i="20"/>
  <c r="G231" i="20"/>
  <c r="J129" i="20"/>
  <c r="J29" i="20"/>
  <c r="J205" i="20"/>
  <c r="J96" i="20"/>
  <c r="H152" i="20"/>
  <c r="J216" i="20"/>
  <c r="I81" i="20"/>
  <c r="K81" i="20" s="1"/>
  <c r="J161" i="20"/>
  <c r="J34" i="20"/>
  <c r="I90" i="20"/>
  <c r="K90" i="20" s="1"/>
  <c r="G146" i="20"/>
  <c r="H202" i="20"/>
  <c r="G229" i="20"/>
  <c r="J38" i="20"/>
  <c r="J134" i="20"/>
  <c r="H59" i="20"/>
  <c r="I123" i="20"/>
  <c r="K123" i="20" s="1"/>
  <c r="I179" i="20"/>
  <c r="K179" i="20" s="1"/>
  <c r="J44" i="20"/>
  <c r="H140" i="20"/>
  <c r="H236" i="20"/>
  <c r="H150" i="20"/>
  <c r="H60" i="20"/>
  <c r="G204" i="20"/>
  <c r="M143" i="20"/>
  <c r="Q143" i="20" s="1"/>
  <c r="M187" i="20"/>
  <c r="Q187" i="20" s="1"/>
  <c r="M128" i="20"/>
  <c r="Q128" i="20" s="1"/>
  <c r="G181" i="25"/>
  <c r="M124" i="20"/>
  <c r="Q124" i="20" s="1"/>
  <c r="M313" i="20"/>
  <c r="Q313" i="20" s="1"/>
  <c r="M154" i="20"/>
  <c r="Q154" i="20" s="1"/>
  <c r="M115" i="20"/>
  <c r="Q115" i="20" s="1"/>
  <c r="M56" i="20"/>
  <c r="Q56" i="20" s="1"/>
  <c r="M78" i="20"/>
  <c r="Q78" i="20" s="1"/>
  <c r="M79" i="20"/>
  <c r="Q79" i="20" s="1"/>
  <c r="M100" i="20"/>
  <c r="Q100" i="20" s="1"/>
  <c r="M81" i="20"/>
  <c r="Q81" i="20" s="1"/>
  <c r="M62" i="20"/>
  <c r="Q62" i="20" s="1"/>
  <c r="C149" i="25"/>
  <c r="G165" i="25"/>
  <c r="I184" i="25"/>
  <c r="G76" i="20"/>
  <c r="I194" i="25"/>
  <c r="I243" i="25"/>
  <c r="G230" i="25"/>
  <c r="C151" i="25"/>
  <c r="C223" i="25"/>
  <c r="I46" i="20"/>
  <c r="K46" i="20" s="1"/>
  <c r="G32" i="20"/>
  <c r="C206" i="25"/>
  <c r="G103" i="20"/>
  <c r="G146" i="25"/>
  <c r="C146" i="25"/>
  <c r="G172" i="25"/>
  <c r="C177" i="25"/>
  <c r="C186" i="25"/>
  <c r="C175" i="25"/>
  <c r="G110" i="20"/>
  <c r="I69" i="20"/>
  <c r="K69" i="20" s="1"/>
  <c r="C193" i="25"/>
  <c r="I156" i="20"/>
  <c r="K156" i="20" s="1"/>
  <c r="G248" i="25"/>
  <c r="C233" i="25"/>
  <c r="G152" i="25"/>
  <c r="I232" i="20"/>
  <c r="K232" i="20" s="1"/>
  <c r="C227" i="25"/>
  <c r="I241" i="25"/>
  <c r="G47" i="20"/>
  <c r="J111" i="20"/>
  <c r="G167" i="20"/>
  <c r="G129" i="20"/>
  <c r="H29" i="20"/>
  <c r="G205" i="20"/>
  <c r="J32" i="20"/>
  <c r="H96" i="20"/>
  <c r="J160" i="20"/>
  <c r="H216" i="20"/>
  <c r="H81" i="20"/>
  <c r="H177" i="20"/>
  <c r="H34" i="20"/>
  <c r="H90" i="20"/>
  <c r="J146" i="20"/>
  <c r="G210" i="20"/>
  <c r="H306" i="20"/>
  <c r="H38" i="20"/>
  <c r="H134" i="20"/>
  <c r="J67" i="20"/>
  <c r="H123" i="20"/>
  <c r="H179" i="20"/>
  <c r="H44" i="20"/>
  <c r="G156" i="20"/>
  <c r="J69" i="20"/>
  <c r="J166" i="20"/>
  <c r="J76" i="20"/>
  <c r="J204" i="20"/>
  <c r="H45" i="20"/>
  <c r="G322" i="20"/>
  <c r="M207" i="20"/>
  <c r="Q207" i="20" s="1"/>
  <c r="M148" i="20"/>
  <c r="Q148" i="20" s="1"/>
  <c r="M29" i="20"/>
  <c r="Q29" i="20" s="1"/>
  <c r="G231" i="25"/>
  <c r="M317" i="20"/>
  <c r="Q317" i="20" s="1"/>
  <c r="M174" i="20"/>
  <c r="Q174" i="20" s="1"/>
  <c r="M135" i="20"/>
  <c r="Q135" i="20" s="1"/>
  <c r="M76" i="20"/>
  <c r="Q76" i="20" s="1"/>
  <c r="I147" i="25"/>
  <c r="M98" i="20"/>
  <c r="Q98" i="20" s="1"/>
  <c r="M99" i="20"/>
  <c r="Q99" i="20" s="1"/>
  <c r="M120" i="20"/>
  <c r="Q120" i="20" s="1"/>
  <c r="M101" i="20"/>
  <c r="Q101" i="20" s="1"/>
  <c r="M82" i="20"/>
  <c r="Q82" i="20" s="1"/>
  <c r="C184" i="25"/>
  <c r="I162" i="25"/>
  <c r="I228" i="20"/>
  <c r="K228" i="20" s="1"/>
  <c r="I259" i="25"/>
  <c r="C246" i="25"/>
  <c r="G204" i="25"/>
  <c r="G99" i="20"/>
  <c r="I139" i="25"/>
  <c r="G147" i="25"/>
  <c r="G178" i="25"/>
  <c r="G82" i="20"/>
  <c r="I180" i="25"/>
  <c r="I73" i="20"/>
  <c r="K73" i="20" s="1"/>
  <c r="G194" i="25"/>
  <c r="I160" i="20"/>
  <c r="K160" i="20" s="1"/>
  <c r="C251" i="25"/>
  <c r="G234" i="25"/>
  <c r="C154" i="25"/>
  <c r="I236" i="20"/>
  <c r="K236" i="20" s="1"/>
  <c r="C231" i="25"/>
  <c r="I305" i="20"/>
  <c r="K305" i="20" s="1"/>
  <c r="I245" i="25"/>
  <c r="G33" i="20"/>
  <c r="I136" i="20"/>
  <c r="K136" i="20" s="1"/>
  <c r="C218" i="25"/>
  <c r="D191" i="25"/>
  <c r="J47" i="20"/>
  <c r="I111" i="20"/>
  <c r="K111" i="20" s="1"/>
  <c r="J175" i="20"/>
  <c r="H153" i="20"/>
  <c r="J37" i="20"/>
  <c r="H32" i="20"/>
  <c r="J104" i="20"/>
  <c r="H160" i="20"/>
  <c r="J224" i="20"/>
  <c r="J81" i="20"/>
  <c r="J177" i="20"/>
  <c r="G34" i="20"/>
  <c r="J98" i="20"/>
  <c r="H146" i="20"/>
  <c r="J210" i="20"/>
  <c r="J306" i="20"/>
  <c r="G38" i="20"/>
  <c r="J158" i="20"/>
  <c r="H67" i="20"/>
  <c r="J131" i="20"/>
  <c r="J187" i="20"/>
  <c r="G44" i="20"/>
  <c r="J156" i="20"/>
  <c r="H69" i="20"/>
  <c r="H166" i="20"/>
  <c r="H76" i="20"/>
  <c r="H204" i="20"/>
  <c r="J45" i="20"/>
  <c r="I204" i="25"/>
  <c r="M227" i="20"/>
  <c r="Q227" i="20" s="1"/>
  <c r="M168" i="20"/>
  <c r="Q168" i="20" s="1"/>
  <c r="M49" i="20"/>
  <c r="Q49" i="20" s="1"/>
  <c r="G209" i="25"/>
  <c r="M83" i="20"/>
  <c r="Q83" i="20" s="1"/>
  <c r="M194" i="20"/>
  <c r="Q194" i="20" s="1"/>
  <c r="M155" i="20"/>
  <c r="Q155" i="20" s="1"/>
  <c r="M96" i="20"/>
  <c r="Q96" i="20" s="1"/>
  <c r="M37" i="20"/>
  <c r="Q37" i="20" s="1"/>
  <c r="M118" i="20"/>
  <c r="Q118" i="20" s="1"/>
  <c r="M119" i="20"/>
  <c r="Q119" i="20" s="1"/>
  <c r="M140" i="20"/>
  <c r="Q140" i="20" s="1"/>
  <c r="M121" i="20"/>
  <c r="Q121" i="20" s="1"/>
  <c r="M102" i="20"/>
  <c r="Q102" i="20" s="1"/>
  <c r="C235" i="25"/>
  <c r="H47" i="20"/>
  <c r="H175" i="20"/>
  <c r="H37" i="20"/>
  <c r="H104" i="20"/>
  <c r="J168" i="20"/>
  <c r="H224" i="20"/>
  <c r="I97" i="20"/>
  <c r="K97" i="20" s="1"/>
  <c r="H193" i="20"/>
  <c r="J42" i="20"/>
  <c r="I98" i="20"/>
  <c r="K98" i="20" s="1"/>
  <c r="G154" i="20"/>
  <c r="H210" i="20"/>
  <c r="J61" i="20"/>
  <c r="J46" i="20"/>
  <c r="H158" i="20"/>
  <c r="I67" i="20"/>
  <c r="K67" i="20" s="1"/>
  <c r="H131" i="20"/>
  <c r="H187" i="20"/>
  <c r="J52" i="20"/>
  <c r="H156" i="20"/>
  <c r="H117" i="20"/>
  <c r="G198" i="20"/>
  <c r="J92" i="20"/>
  <c r="J220" i="20"/>
  <c r="H85" i="20"/>
  <c r="I313" i="20"/>
  <c r="K313" i="20" s="1"/>
  <c r="G303" i="20"/>
  <c r="M304" i="20"/>
  <c r="Q304" i="20" s="1"/>
  <c r="M307" i="20"/>
  <c r="Q307" i="20" s="1"/>
  <c r="M188" i="20"/>
  <c r="Q188" i="20" s="1"/>
  <c r="M69" i="20"/>
  <c r="Q69" i="20" s="1"/>
  <c r="I167" i="25"/>
  <c r="M224" i="20"/>
  <c r="Q224" i="20" s="1"/>
  <c r="M214" i="20"/>
  <c r="Q214" i="20" s="1"/>
  <c r="M175" i="20"/>
  <c r="Q175" i="20" s="1"/>
  <c r="M116" i="20"/>
  <c r="Q116" i="20" s="1"/>
  <c r="M57" i="20"/>
  <c r="Q57" i="20" s="1"/>
  <c r="M138" i="20"/>
  <c r="Q138" i="20" s="1"/>
  <c r="M139" i="20"/>
  <c r="Q139" i="20" s="1"/>
  <c r="M160" i="20"/>
  <c r="Q160" i="20" s="1"/>
  <c r="M141" i="20"/>
  <c r="Q141" i="20" s="1"/>
  <c r="M122" i="20"/>
  <c r="Q122" i="20" s="1"/>
  <c r="I54" i="20"/>
  <c r="K54" i="20" s="1"/>
  <c r="C209" i="25"/>
  <c r="G182" i="25"/>
  <c r="I88" i="20"/>
  <c r="K88" i="20" s="1"/>
  <c r="C198" i="25"/>
  <c r="G210" i="25"/>
  <c r="C239" i="25"/>
  <c r="G66" i="20"/>
  <c r="I231" i="20"/>
  <c r="K231" i="20" s="1"/>
  <c r="G37" i="20"/>
  <c r="C190" i="25"/>
  <c r="C226" i="25"/>
  <c r="H55" i="20"/>
  <c r="J119" i="20"/>
  <c r="J183" i="20"/>
  <c r="I169" i="20"/>
  <c r="K169" i="20" s="1"/>
  <c r="J53" i="20"/>
  <c r="H40" i="20"/>
  <c r="G112" i="20"/>
  <c r="I168" i="20"/>
  <c r="K168" i="20" s="1"/>
  <c r="J232" i="20"/>
  <c r="H97" i="20"/>
  <c r="J193" i="20"/>
  <c r="H42" i="20"/>
  <c r="H98" i="20"/>
  <c r="J154" i="20"/>
  <c r="G218" i="20"/>
  <c r="H61" i="20"/>
  <c r="H46" i="20"/>
  <c r="J182" i="20"/>
  <c r="J75" i="20"/>
  <c r="G131" i="20"/>
  <c r="J195" i="20"/>
  <c r="H52" i="20"/>
  <c r="J164" i="20"/>
  <c r="I117" i="20"/>
  <c r="K117" i="20" s="1"/>
  <c r="J198" i="20"/>
  <c r="I92" i="20"/>
  <c r="K92" i="20" s="1"/>
  <c r="H220" i="20"/>
  <c r="I85" i="20"/>
  <c r="K85" i="20" s="1"/>
  <c r="I303" i="20"/>
  <c r="K303" i="20" s="1"/>
  <c r="I310" i="20"/>
  <c r="K310" i="20" s="1"/>
  <c r="G144" i="25"/>
  <c r="M327" i="20"/>
  <c r="Q327" i="20" s="1"/>
  <c r="M208" i="20"/>
  <c r="Q208" i="20" s="1"/>
  <c r="M89" i="20"/>
  <c r="Q89" i="20" s="1"/>
  <c r="G184" i="25"/>
  <c r="G232" i="25"/>
  <c r="M234" i="20"/>
  <c r="Q234" i="20" s="1"/>
  <c r="M195" i="20"/>
  <c r="Q195" i="20" s="1"/>
  <c r="M136" i="20"/>
  <c r="Q136" i="20" s="1"/>
  <c r="M77" i="20"/>
  <c r="Q77" i="20" s="1"/>
  <c r="M158" i="20"/>
  <c r="Q158" i="20" s="1"/>
  <c r="M159" i="20"/>
  <c r="Q159" i="20" s="1"/>
  <c r="M180" i="20"/>
  <c r="Q180" i="20" s="1"/>
  <c r="M161" i="20"/>
  <c r="Q161" i="20" s="1"/>
  <c r="M142" i="20"/>
  <c r="Q142" i="20" s="1"/>
  <c r="E136" i="25"/>
  <c r="C183" i="25"/>
  <c r="I136" i="25"/>
  <c r="C197" i="25"/>
  <c r="I250" i="25"/>
  <c r="C141" i="25"/>
  <c r="G83" i="20"/>
  <c r="C187" i="25"/>
  <c r="C255" i="25"/>
  <c r="G238" i="25"/>
  <c r="C158" i="25"/>
  <c r="I140" i="20"/>
  <c r="K140" i="20" s="1"/>
  <c r="G101" i="20"/>
  <c r="C153" i="25"/>
  <c r="G138" i="25"/>
  <c r="I205" i="25"/>
  <c r="C171" i="25"/>
  <c r="C185" i="25"/>
  <c r="C167" i="25"/>
  <c r="G113" i="20"/>
  <c r="I80" i="20"/>
  <c r="K80" i="20" s="1"/>
  <c r="I195" i="25"/>
  <c r="G160" i="20"/>
  <c r="G256" i="25"/>
  <c r="C241" i="25"/>
  <c r="G159" i="25"/>
  <c r="I143" i="20"/>
  <c r="K143" i="20" s="1"/>
  <c r="C248" i="25"/>
  <c r="C243" i="25"/>
  <c r="G156" i="25"/>
  <c r="G70" i="20"/>
  <c r="I235" i="20"/>
  <c r="K235" i="20" s="1"/>
  <c r="I66" i="20"/>
  <c r="K66" i="20" s="1"/>
  <c r="C191" i="25"/>
  <c r="C234" i="25"/>
  <c r="J55" i="20"/>
  <c r="H119" i="20"/>
  <c r="I183" i="20"/>
  <c r="K183" i="20" s="1"/>
  <c r="H169" i="20"/>
  <c r="H53" i="20"/>
  <c r="G40" i="20"/>
  <c r="J112" i="20"/>
  <c r="H168" i="20"/>
  <c r="H232" i="20"/>
  <c r="H25" i="20"/>
  <c r="J97" i="20"/>
  <c r="G193" i="20"/>
  <c r="G42" i="20"/>
  <c r="J106" i="20"/>
  <c r="H154" i="20"/>
  <c r="J218" i="20"/>
  <c r="I61" i="20"/>
  <c r="K61" i="20" s="1"/>
  <c r="G46" i="20"/>
  <c r="H182" i="20"/>
  <c r="H75" i="20"/>
  <c r="J139" i="20"/>
  <c r="H195" i="20"/>
  <c r="G52" i="20"/>
  <c r="I164" i="20"/>
  <c r="K164" i="20" s="1"/>
  <c r="J117" i="20"/>
  <c r="J30" i="20"/>
  <c r="H198" i="20"/>
  <c r="H92" i="20"/>
  <c r="J85" i="20"/>
  <c r="G307" i="20"/>
  <c r="M26" i="20"/>
  <c r="Q26" i="20" s="1"/>
  <c r="G225" i="25"/>
  <c r="M330" i="20"/>
  <c r="Q330" i="20" s="1"/>
  <c r="M228" i="20"/>
  <c r="Q228" i="20" s="1"/>
  <c r="M109" i="20"/>
  <c r="Q109" i="20" s="1"/>
  <c r="M30" i="20"/>
  <c r="Q30" i="20" s="1"/>
  <c r="M31" i="20"/>
  <c r="Q31" i="20" s="1"/>
  <c r="I172" i="25"/>
  <c r="I253" i="25"/>
  <c r="M215" i="20"/>
  <c r="Q215" i="20" s="1"/>
  <c r="M156" i="20"/>
  <c r="Q156" i="20" s="1"/>
  <c r="M97" i="20"/>
  <c r="Q97" i="20" s="1"/>
  <c r="M178" i="20"/>
  <c r="Q178" i="20" s="1"/>
  <c r="M179" i="20"/>
  <c r="Q179" i="20" s="1"/>
  <c r="M200" i="20"/>
  <c r="Q200" i="20" s="1"/>
  <c r="M181" i="20"/>
  <c r="Q181" i="20" s="1"/>
  <c r="M162" i="20"/>
  <c r="Q162" i="20" s="1"/>
  <c r="C237" i="25"/>
  <c r="C252" i="25"/>
  <c r="G74" i="20"/>
  <c r="G308" i="20"/>
  <c r="I32" i="20"/>
  <c r="K32" i="20" s="1"/>
  <c r="G92" i="20"/>
  <c r="J63" i="20"/>
  <c r="J127" i="20"/>
  <c r="H183" i="20"/>
  <c r="J169" i="20"/>
  <c r="I53" i="20"/>
  <c r="K53" i="20" s="1"/>
  <c r="J309" i="20"/>
  <c r="J48" i="20"/>
  <c r="H112" i="20"/>
  <c r="J176" i="20"/>
  <c r="J25" i="20"/>
  <c r="I105" i="20"/>
  <c r="K105" i="20" s="1"/>
  <c r="H201" i="20"/>
  <c r="J50" i="20"/>
  <c r="I106" i="20"/>
  <c r="K106" i="20" s="1"/>
  <c r="J162" i="20"/>
  <c r="H218" i="20"/>
  <c r="H109" i="20"/>
  <c r="J54" i="20"/>
  <c r="G206" i="20"/>
  <c r="I75" i="20"/>
  <c r="K75" i="20" s="1"/>
  <c r="H139" i="20"/>
  <c r="J203" i="20"/>
  <c r="J68" i="20"/>
  <c r="H164" i="20"/>
  <c r="H149" i="20"/>
  <c r="I30" i="20"/>
  <c r="K30" i="20" s="1"/>
  <c r="J222" i="20"/>
  <c r="J108" i="20"/>
  <c r="I93" i="20"/>
  <c r="K93" i="20" s="1"/>
  <c r="J62" i="20"/>
  <c r="I307" i="20"/>
  <c r="K307" i="20" s="1"/>
  <c r="M46" i="20"/>
  <c r="Q46" i="20" s="1"/>
  <c r="G245" i="25"/>
  <c r="G241" i="25"/>
  <c r="M308" i="20"/>
  <c r="Q308" i="20" s="1"/>
  <c r="M129" i="20"/>
  <c r="Q129" i="20" s="1"/>
  <c r="M50" i="20"/>
  <c r="Q50" i="20" s="1"/>
  <c r="M51" i="20"/>
  <c r="Q51" i="20" s="1"/>
  <c r="M32" i="20"/>
  <c r="Q32" i="20" s="1"/>
  <c r="I210" i="25"/>
  <c r="M235" i="20"/>
  <c r="Q235" i="20" s="1"/>
  <c r="M176" i="20"/>
  <c r="Q176" i="20" s="1"/>
  <c r="M117" i="20"/>
  <c r="Q117" i="20" s="1"/>
  <c r="M198" i="20"/>
  <c r="Q198" i="20" s="1"/>
  <c r="M199" i="20"/>
  <c r="Q199" i="20" s="1"/>
  <c r="M220" i="20"/>
  <c r="Q220" i="20" s="1"/>
  <c r="M201" i="20"/>
  <c r="Q201" i="20" s="1"/>
  <c r="M182" i="20"/>
  <c r="Q182" i="20" s="1"/>
  <c r="G203" i="25"/>
  <c r="G155" i="25"/>
  <c r="J40" i="20"/>
  <c r="I146" i="25"/>
  <c r="G86" i="20"/>
  <c r="G91" i="20"/>
  <c r="I215" i="25"/>
  <c r="G206" i="25"/>
  <c r="C200" i="25"/>
  <c r="I167" i="20"/>
  <c r="K167" i="20" s="1"/>
  <c r="G200" i="25"/>
  <c r="C169" i="25"/>
  <c r="I165" i="25"/>
  <c r="C182" i="25"/>
  <c r="C211" i="25"/>
  <c r="C210" i="25"/>
  <c r="G215" i="25"/>
  <c r="C196" i="25"/>
  <c r="I229" i="20"/>
  <c r="K229" i="20" s="1"/>
  <c r="C245" i="25"/>
  <c r="I222" i="25"/>
  <c r="I109" i="20"/>
  <c r="K109" i="20" s="1"/>
  <c r="C256" i="25"/>
  <c r="I146" i="20"/>
  <c r="K146" i="20" s="1"/>
  <c r="I145" i="20"/>
  <c r="K145" i="20" s="1"/>
  <c r="I244" i="25"/>
  <c r="G45" i="20"/>
  <c r="I143" i="25"/>
  <c r="C215" i="25"/>
  <c r="H63" i="20"/>
  <c r="I127" i="20"/>
  <c r="K127" i="20" s="1"/>
  <c r="J191" i="20"/>
  <c r="H185" i="20"/>
  <c r="H77" i="20"/>
  <c r="H309" i="20"/>
  <c r="H48" i="20"/>
  <c r="G120" i="20"/>
  <c r="I176" i="20"/>
  <c r="K176" i="20" s="1"/>
  <c r="J33" i="20"/>
  <c r="H105" i="20"/>
  <c r="J201" i="20"/>
  <c r="I50" i="20"/>
  <c r="K50" i="20" s="1"/>
  <c r="H106" i="20"/>
  <c r="H162" i="20"/>
  <c r="G226" i="20"/>
  <c r="J109" i="20"/>
  <c r="H54" i="20"/>
  <c r="J206" i="20"/>
  <c r="J83" i="20"/>
  <c r="J147" i="20"/>
  <c r="H203" i="20"/>
  <c r="H68" i="20"/>
  <c r="G180" i="20"/>
  <c r="J149" i="20"/>
  <c r="H30" i="20"/>
  <c r="I222" i="20"/>
  <c r="K222" i="20" s="1"/>
  <c r="H108" i="20"/>
  <c r="H93" i="20"/>
  <c r="H62" i="20"/>
  <c r="M66" i="20"/>
  <c r="Q66" i="20" s="1"/>
  <c r="M223" i="20"/>
  <c r="Q223" i="20" s="1"/>
  <c r="M328" i="20"/>
  <c r="Q328" i="20" s="1"/>
  <c r="M149" i="20"/>
  <c r="Q149" i="20" s="1"/>
  <c r="M70" i="20"/>
  <c r="Q70" i="20" s="1"/>
  <c r="M71" i="20"/>
  <c r="Q71" i="20" s="1"/>
  <c r="M52" i="20"/>
  <c r="Q52" i="20" s="1"/>
  <c r="I168" i="25"/>
  <c r="G233" i="25"/>
  <c r="M315" i="20"/>
  <c r="Q315" i="20" s="1"/>
  <c r="M196" i="20"/>
  <c r="Q196" i="20" s="1"/>
  <c r="M137" i="20"/>
  <c r="Q137" i="20" s="1"/>
  <c r="M218" i="20"/>
  <c r="Q218" i="20" s="1"/>
  <c r="M219" i="20"/>
  <c r="Q219" i="20" s="1"/>
  <c r="M320" i="20"/>
  <c r="Q320" i="20" s="1"/>
  <c r="M221" i="20"/>
  <c r="Q221" i="20" s="1"/>
  <c r="M202" i="20"/>
  <c r="Q202" i="20" s="1"/>
  <c r="M25" i="20"/>
  <c r="Q25" i="20" s="1"/>
  <c r="C203" i="25"/>
  <c r="I77" i="20"/>
  <c r="K77" i="20" s="1"/>
  <c r="G252" i="25"/>
  <c r="C143" i="25"/>
  <c r="J153" i="20"/>
  <c r="I202" i="25"/>
  <c r="G126" i="20"/>
  <c r="G168" i="25"/>
  <c r="I112" i="20"/>
  <c r="K112" i="20" s="1"/>
  <c r="I157" i="20"/>
  <c r="K157" i="20" s="1"/>
  <c r="I219" i="25"/>
  <c r="C205" i="25"/>
  <c r="G174" i="20"/>
  <c r="I163" i="20"/>
  <c r="K163" i="20" s="1"/>
  <c r="C148" i="25"/>
  <c r="G95" i="20"/>
  <c r="G130" i="20"/>
  <c r="G169" i="25"/>
  <c r="G85" i="20"/>
  <c r="C161" i="25"/>
  <c r="I213" i="25"/>
  <c r="I161" i="25"/>
  <c r="G139" i="20"/>
  <c r="I233" i="20"/>
  <c r="K233" i="20" s="1"/>
  <c r="G246" i="25"/>
  <c r="I226" i="25"/>
  <c r="I152" i="25"/>
  <c r="G151" i="25"/>
  <c r="G157" i="25"/>
  <c r="I148" i="20"/>
  <c r="K148" i="20" s="1"/>
  <c r="I230" i="20"/>
  <c r="K230" i="20" s="1"/>
  <c r="I40" i="20"/>
  <c r="K40" i="20" s="1"/>
  <c r="I220" i="25"/>
  <c r="J71" i="20"/>
  <c r="H127" i="20"/>
  <c r="H191" i="20"/>
  <c r="J185" i="20"/>
  <c r="J77" i="20"/>
  <c r="G190" i="20"/>
  <c r="G48" i="20"/>
  <c r="J120" i="20"/>
  <c r="H176" i="20"/>
  <c r="H33" i="20"/>
  <c r="J105" i="20"/>
  <c r="G201" i="20"/>
  <c r="H50" i="20"/>
  <c r="G114" i="20"/>
  <c r="J170" i="20"/>
  <c r="J226" i="20"/>
  <c r="G109" i="20"/>
  <c r="J78" i="20"/>
  <c r="H206" i="20"/>
  <c r="J27" i="20"/>
  <c r="H83" i="20"/>
  <c r="H147" i="20"/>
  <c r="J211" i="20"/>
  <c r="G84" i="20"/>
  <c r="J180" i="20"/>
  <c r="H189" i="20"/>
  <c r="J70" i="20"/>
  <c r="H222" i="20"/>
  <c r="G132" i="20"/>
  <c r="J93" i="20"/>
  <c r="J142" i="20"/>
  <c r="G304" i="20"/>
  <c r="I308" i="20"/>
  <c r="K308" i="20" s="1"/>
  <c r="M86" i="20"/>
  <c r="Q86" i="20" s="1"/>
  <c r="M184" i="20"/>
  <c r="Q184" i="20" s="1"/>
  <c r="M332" i="20"/>
  <c r="Q332" i="20" s="1"/>
  <c r="M169" i="20"/>
  <c r="Q169" i="20" s="1"/>
  <c r="M90" i="20"/>
  <c r="Q90" i="20" s="1"/>
  <c r="M91" i="20"/>
  <c r="Q91" i="20" s="1"/>
  <c r="M72" i="20"/>
  <c r="Q72" i="20" s="1"/>
  <c r="G185" i="25"/>
  <c r="I254" i="25"/>
  <c r="M316" i="20"/>
  <c r="Q316" i="20" s="1"/>
  <c r="M216" i="20"/>
  <c r="Q216" i="20" s="1"/>
  <c r="M123" i="20"/>
  <c r="Q123" i="20" s="1"/>
  <c r="M318" i="20"/>
  <c r="Q318" i="20" s="1"/>
  <c r="M319" i="20"/>
  <c r="Q319" i="20" s="1"/>
  <c r="M183" i="20"/>
  <c r="Q183" i="20" s="1"/>
  <c r="M163" i="20"/>
  <c r="Q163" i="20" s="1"/>
  <c r="M222" i="20"/>
  <c r="Q222" i="20" s="1"/>
  <c r="M45" i="20"/>
  <c r="Q45" i="20" s="1"/>
  <c r="C181" i="25"/>
  <c r="G81" i="20"/>
  <c r="I191" i="25"/>
  <c r="H111" i="20"/>
  <c r="G169" i="20"/>
  <c r="G201" i="25"/>
  <c r="G205" i="25"/>
  <c r="C259" i="25"/>
  <c r="G242" i="25"/>
  <c r="I218" i="25"/>
  <c r="G193" i="25"/>
  <c r="C202" i="25"/>
  <c r="G149" i="25"/>
  <c r="C204" i="25"/>
  <c r="C137" i="25"/>
  <c r="I182" i="25"/>
  <c r="C188" i="25"/>
  <c r="I177" i="25"/>
  <c r="I113" i="20"/>
  <c r="K113" i="20" s="1"/>
  <c r="G162" i="25"/>
  <c r="I185" i="20"/>
  <c r="K185" i="20" s="1"/>
  <c r="I68" i="20"/>
  <c r="K68" i="20" s="1"/>
  <c r="I196" i="25"/>
  <c r="I237" i="20"/>
  <c r="K237" i="20" s="1"/>
  <c r="I248" i="25"/>
  <c r="I230" i="25"/>
  <c r="I155" i="25"/>
  <c r="G190" i="25"/>
  <c r="G309" i="20"/>
  <c r="G253" i="25"/>
  <c r="I208" i="25"/>
  <c r="G49" i="20"/>
  <c r="I44" i="20"/>
  <c r="K44" i="20" s="1"/>
  <c r="C242" i="25"/>
  <c r="I211" i="25"/>
  <c r="H71" i="20"/>
  <c r="J135" i="20"/>
  <c r="J199" i="20"/>
  <c r="H209" i="20"/>
  <c r="H101" i="20"/>
  <c r="J190" i="20"/>
  <c r="J56" i="20"/>
  <c r="H120" i="20"/>
  <c r="J184" i="20"/>
  <c r="H41" i="20"/>
  <c r="H113" i="20"/>
  <c r="I217" i="20"/>
  <c r="K217" i="20" s="1"/>
  <c r="J58" i="20"/>
  <c r="J114" i="20"/>
  <c r="H170" i="20"/>
  <c r="H226" i="20"/>
  <c r="I141" i="20"/>
  <c r="K141" i="20" s="1"/>
  <c r="H78" i="20"/>
  <c r="G230" i="20"/>
  <c r="H27" i="20"/>
  <c r="J91" i="20"/>
  <c r="G147" i="20"/>
  <c r="H211" i="20"/>
  <c r="J307" i="20"/>
  <c r="J84" i="20"/>
  <c r="I180" i="20"/>
  <c r="K180" i="20" s="1"/>
  <c r="J189" i="20"/>
  <c r="H70" i="20"/>
  <c r="J132" i="20"/>
  <c r="H133" i="20"/>
  <c r="I142" i="20"/>
  <c r="K142" i="20" s="1"/>
  <c r="M106" i="20"/>
  <c r="Q106" i="20" s="1"/>
  <c r="I203" i="25"/>
  <c r="G179" i="25"/>
  <c r="M237" i="20"/>
  <c r="Q237" i="20" s="1"/>
  <c r="S237" i="20" s="1"/>
  <c r="M189" i="20"/>
  <c r="Q189" i="20" s="1"/>
  <c r="M110" i="20"/>
  <c r="Q110" i="20" s="1"/>
  <c r="M111" i="20"/>
  <c r="Q111" i="20" s="1"/>
  <c r="M92" i="20"/>
  <c r="Q92" i="20" s="1"/>
  <c r="M33" i="20"/>
  <c r="Q33" i="20" s="1"/>
  <c r="G211" i="25"/>
  <c r="M157" i="20"/>
  <c r="Q157" i="20" s="1"/>
  <c r="M236" i="20"/>
  <c r="Q236" i="20" s="1"/>
  <c r="M84" i="20"/>
  <c r="Q84" i="20" s="1"/>
  <c r="M144" i="20"/>
  <c r="Q144" i="20" s="1"/>
  <c r="M63" i="20"/>
  <c r="Q63" i="20" s="1"/>
  <c r="M325" i="20"/>
  <c r="Q325" i="20" s="1"/>
  <c r="M164" i="20"/>
  <c r="Q164" i="20" s="1"/>
  <c r="M65" i="20"/>
  <c r="Q65" i="20" s="1"/>
  <c r="G69" i="20"/>
  <c r="I84" i="20"/>
  <c r="K84" i="20" s="1"/>
  <c r="I72" i="20"/>
  <c r="K72" i="20" s="1"/>
  <c r="G216" i="25"/>
  <c r="I139" i="20"/>
  <c r="K139" i="20" s="1"/>
  <c r="I252" i="25"/>
  <c r="I234" i="25"/>
  <c r="I159" i="25"/>
  <c r="G154" i="25"/>
  <c r="G158" i="20"/>
  <c r="I314" i="20"/>
  <c r="K314" i="20" s="1"/>
  <c r="I138" i="20"/>
  <c r="K138" i="20" s="1"/>
  <c r="I131" i="20"/>
  <c r="K131" i="20" s="1"/>
  <c r="I33" i="20"/>
  <c r="K33" i="20" s="1"/>
  <c r="I48" i="20"/>
  <c r="K48" i="20" s="1"/>
  <c r="C222" i="25"/>
  <c r="I71" i="20"/>
  <c r="K71" i="20" s="1"/>
  <c r="H135" i="20"/>
  <c r="I199" i="20"/>
  <c r="K199" i="20" s="1"/>
  <c r="J209" i="20"/>
  <c r="I101" i="20"/>
  <c r="K101" i="20" s="1"/>
  <c r="H190" i="20"/>
  <c r="H56" i="20"/>
  <c r="J128" i="20"/>
  <c r="H184" i="20"/>
  <c r="G41" i="20"/>
  <c r="J113" i="20"/>
  <c r="H217" i="20"/>
  <c r="H58" i="20"/>
  <c r="H114" i="20"/>
  <c r="G178" i="20"/>
  <c r="G234" i="20"/>
  <c r="H141" i="20"/>
  <c r="J86" i="20"/>
  <c r="J230" i="20"/>
  <c r="I27" i="20"/>
  <c r="K27" i="20" s="1"/>
  <c r="H91" i="20"/>
  <c r="J155" i="20"/>
  <c r="J219" i="20"/>
  <c r="H307" i="20"/>
  <c r="H84" i="20"/>
  <c r="H180" i="20"/>
  <c r="G189" i="20"/>
  <c r="J94" i="20"/>
  <c r="H132" i="20"/>
  <c r="J133" i="20"/>
  <c r="H142" i="20"/>
  <c r="M126" i="20"/>
  <c r="Q126" i="20" s="1"/>
  <c r="M322" i="20"/>
  <c r="Q322" i="20" s="1"/>
  <c r="M209" i="20"/>
  <c r="Q209" i="20" s="1"/>
  <c r="M130" i="20"/>
  <c r="Q130" i="20" s="1"/>
  <c r="M131" i="20"/>
  <c r="Q131" i="20" s="1"/>
  <c r="M112" i="20"/>
  <c r="Q112" i="20" s="1"/>
  <c r="M53" i="20"/>
  <c r="Q53" i="20" s="1"/>
  <c r="G236" i="25"/>
  <c r="M305" i="20"/>
  <c r="Q305" i="20" s="1"/>
  <c r="M323" i="20"/>
  <c r="Q323" i="20" s="1"/>
  <c r="G219" i="25"/>
  <c r="G220" i="25"/>
  <c r="M85" i="20"/>
  <c r="Q85" i="20" s="1"/>
  <c r="I181" i="25"/>
  <c r="G168" i="20"/>
  <c r="C166" i="25"/>
  <c r="I185" i="25"/>
  <c r="G183" i="25"/>
  <c r="C162" i="25"/>
  <c r="G73" i="20"/>
  <c r="I76" i="20"/>
  <c r="K76" i="20" s="1"/>
  <c r="G167" i="25"/>
  <c r="I216" i="25"/>
  <c r="I256" i="25"/>
  <c r="I238" i="25"/>
  <c r="C220" i="25"/>
  <c r="C157" i="25"/>
  <c r="G208" i="25"/>
  <c r="G318" i="20"/>
  <c r="I304" i="20"/>
  <c r="K304" i="20" s="1"/>
  <c r="I179" i="25"/>
  <c r="I37" i="20"/>
  <c r="K37" i="20" s="1"/>
  <c r="I236" i="25"/>
  <c r="I224" i="25"/>
  <c r="J79" i="20"/>
  <c r="J143" i="20"/>
  <c r="H199" i="20"/>
  <c r="G209" i="20"/>
  <c r="J101" i="20"/>
  <c r="J64" i="20"/>
  <c r="I128" i="20"/>
  <c r="K128" i="20" s="1"/>
  <c r="G192" i="20"/>
  <c r="J41" i="20"/>
  <c r="H121" i="20"/>
  <c r="J217" i="20"/>
  <c r="J305" i="20"/>
  <c r="J66" i="20"/>
  <c r="G122" i="20"/>
  <c r="J178" i="20"/>
  <c r="J234" i="20"/>
  <c r="J141" i="20"/>
  <c r="I86" i="20"/>
  <c r="K86" i="20" s="1"/>
  <c r="H230" i="20"/>
  <c r="J35" i="20"/>
  <c r="J99" i="20"/>
  <c r="I155" i="20"/>
  <c r="K155" i="20" s="1"/>
  <c r="H219" i="20"/>
  <c r="J100" i="20"/>
  <c r="G196" i="20"/>
  <c r="I221" i="20"/>
  <c r="K221" i="20" s="1"/>
  <c r="I94" i="20"/>
  <c r="K94" i="20" s="1"/>
  <c r="G148" i="20"/>
  <c r="G133" i="20"/>
  <c r="J174" i="20"/>
  <c r="M146" i="20"/>
  <c r="Q146" i="20" s="1"/>
  <c r="M203" i="20"/>
  <c r="Q203" i="20" s="1"/>
  <c r="M229" i="20"/>
  <c r="Q229" i="20" s="1"/>
  <c r="M150" i="20"/>
  <c r="Q150" i="20" s="1"/>
  <c r="M151" i="20"/>
  <c r="Q151" i="20" s="1"/>
  <c r="M132" i="20"/>
  <c r="Q132" i="20" s="1"/>
  <c r="M73" i="20"/>
  <c r="Q73" i="20" s="1"/>
  <c r="I201" i="25"/>
  <c r="I257" i="25"/>
  <c r="G237" i="25"/>
  <c r="G196" i="25"/>
  <c r="G239" i="25"/>
  <c r="G240" i="25"/>
  <c r="I137" i="25"/>
  <c r="M105" i="20"/>
  <c r="Q105" i="20" s="1"/>
  <c r="I153" i="25"/>
  <c r="G228" i="20"/>
  <c r="I242" i="25"/>
  <c r="C224" i="25"/>
  <c r="G158" i="25"/>
  <c r="G88" i="20"/>
  <c r="I323" i="20"/>
  <c r="K323" i="20" s="1"/>
  <c r="I41" i="20"/>
  <c r="K41" i="20" s="1"/>
  <c r="G249" i="25"/>
  <c r="I258" i="25"/>
  <c r="I240" i="25"/>
  <c r="H79" i="20"/>
  <c r="H143" i="20"/>
  <c r="J207" i="20"/>
  <c r="I225" i="20"/>
  <c r="K225" i="20" s="1"/>
  <c r="H125" i="20"/>
  <c r="H64" i="20"/>
  <c r="H128" i="20"/>
  <c r="J192" i="20"/>
  <c r="J49" i="20"/>
  <c r="J121" i="20"/>
  <c r="H233" i="20"/>
  <c r="H305" i="20"/>
  <c r="H66" i="20"/>
  <c r="J122" i="20"/>
  <c r="H178" i="20"/>
  <c r="H234" i="20"/>
  <c r="I173" i="20"/>
  <c r="K173" i="20" s="1"/>
  <c r="H86" i="20"/>
  <c r="G35" i="20"/>
  <c r="I99" i="20"/>
  <c r="K99" i="20" s="1"/>
  <c r="H155" i="20"/>
  <c r="J227" i="20"/>
  <c r="H100" i="20"/>
  <c r="J196" i="20"/>
  <c r="H221" i="20"/>
  <c r="H94" i="20"/>
  <c r="J148" i="20"/>
  <c r="H165" i="20"/>
  <c r="H174" i="20"/>
  <c r="G305" i="20"/>
  <c r="I309" i="20"/>
  <c r="K309" i="20" s="1"/>
  <c r="M166" i="20"/>
  <c r="Q166" i="20" s="1"/>
  <c r="M27" i="20"/>
  <c r="Q27" i="20" s="1"/>
  <c r="G202" i="25"/>
  <c r="M309" i="20"/>
  <c r="Q309" i="20" s="1"/>
  <c r="M170" i="20"/>
  <c r="Q170" i="20" s="1"/>
  <c r="M171" i="20"/>
  <c r="Q171" i="20" s="1"/>
  <c r="M152" i="20"/>
  <c r="Q152" i="20" s="1"/>
  <c r="M93" i="20"/>
  <c r="Q93" i="20" s="1"/>
  <c r="I200" i="25"/>
  <c r="M303" i="20"/>
  <c r="Q303" i="20" s="1"/>
  <c r="I163" i="25"/>
  <c r="G258" i="25"/>
  <c r="I193" i="25"/>
  <c r="G174" i="25"/>
  <c r="M104" i="20"/>
  <c r="Q104" i="20" s="1"/>
  <c r="F69" i="12"/>
  <c r="F48" i="12"/>
  <c r="F27" i="12"/>
  <c r="F26" i="11"/>
  <c r="F60" i="10"/>
  <c r="F39" i="10"/>
  <c r="F61" i="9"/>
  <c r="F41" i="9"/>
  <c r="F20" i="9"/>
  <c r="F48" i="8"/>
  <c r="F26" i="8"/>
  <c r="F259" i="25"/>
  <c r="H252" i="25"/>
  <c r="J244" i="25"/>
  <c r="F238" i="25"/>
  <c r="H231" i="25"/>
  <c r="J224" i="25"/>
  <c r="F218" i="25"/>
  <c r="H209" i="25"/>
  <c r="J201" i="25"/>
  <c r="F194" i="25"/>
  <c r="J178" i="25"/>
  <c r="F171" i="25"/>
  <c r="J154" i="25"/>
  <c r="H138" i="25"/>
  <c r="J184" i="25"/>
  <c r="F154" i="25"/>
  <c r="H230" i="25"/>
  <c r="H184" i="25"/>
  <c r="H161" i="25"/>
  <c r="F184" i="25"/>
  <c r="J144" i="25"/>
  <c r="F243" i="25"/>
  <c r="F200" i="25"/>
  <c r="J159" i="25"/>
  <c r="J194" i="25"/>
  <c r="F68" i="12"/>
  <c r="F47" i="12"/>
  <c r="F26" i="12"/>
  <c r="F25" i="11"/>
  <c r="F59" i="10"/>
  <c r="F38" i="10"/>
  <c r="F60" i="9"/>
  <c r="F40" i="9"/>
  <c r="F47" i="8"/>
  <c r="F25" i="8"/>
  <c r="J258" i="25"/>
  <c r="F252" i="25"/>
  <c r="H244" i="25"/>
  <c r="J237" i="25"/>
  <c r="F231" i="25"/>
  <c r="H224" i="25"/>
  <c r="J216" i="25"/>
  <c r="F209" i="25"/>
  <c r="H201" i="25"/>
  <c r="J193" i="25"/>
  <c r="F185" i="25"/>
  <c r="H178" i="25"/>
  <c r="J169" i="25"/>
  <c r="F162" i="25"/>
  <c r="H154" i="25"/>
  <c r="J146" i="25"/>
  <c r="F138" i="25"/>
  <c r="F178" i="25"/>
  <c r="H146" i="25"/>
  <c r="J223" i="25"/>
  <c r="J177" i="25"/>
  <c r="H137" i="25"/>
  <c r="F161" i="25"/>
  <c r="J250" i="25"/>
  <c r="H168" i="25"/>
  <c r="J238" i="25"/>
  <c r="F67" i="12"/>
  <c r="F46" i="12"/>
  <c r="F25" i="12"/>
  <c r="F24" i="11"/>
  <c r="F58" i="10"/>
  <c r="F37" i="10"/>
  <c r="F59" i="9"/>
  <c r="F39" i="9"/>
  <c r="F67" i="8"/>
  <c r="F46" i="8"/>
  <c r="F24" i="8"/>
  <c r="H258" i="25"/>
  <c r="J251" i="25"/>
  <c r="F244" i="25"/>
  <c r="H237" i="25"/>
  <c r="J230" i="25"/>
  <c r="F224" i="25"/>
  <c r="H216" i="25"/>
  <c r="J208" i="25"/>
  <c r="H193" i="25"/>
  <c r="H169" i="25"/>
  <c r="J137" i="25"/>
  <c r="H208" i="25"/>
  <c r="F169" i="25"/>
  <c r="J168" i="25"/>
  <c r="H236" i="25"/>
  <c r="F177" i="25"/>
  <c r="F152" i="25"/>
  <c r="H225" i="25"/>
  <c r="F66" i="12"/>
  <c r="F45" i="12"/>
  <c r="F24" i="12"/>
  <c r="F23" i="11"/>
  <c r="F57" i="10"/>
  <c r="F36" i="10"/>
  <c r="F58" i="9"/>
  <c r="F37" i="9"/>
  <c r="F66" i="8"/>
  <c r="F45" i="8"/>
  <c r="F23" i="8"/>
  <c r="F258" i="25"/>
  <c r="H251" i="25"/>
  <c r="J243" i="25"/>
  <c r="F237" i="25"/>
  <c r="F216" i="25"/>
  <c r="F193" i="25"/>
  <c r="F146" i="25"/>
  <c r="F137" i="25"/>
  <c r="F223" i="25"/>
  <c r="H191" i="25"/>
  <c r="H144" i="25"/>
  <c r="F139" i="25"/>
  <c r="F65" i="12"/>
  <c r="F44" i="12"/>
  <c r="F23" i="12"/>
  <c r="F22" i="11"/>
  <c r="F56" i="10"/>
  <c r="F35" i="10"/>
  <c r="F57" i="9"/>
  <c r="F36" i="9"/>
  <c r="F65" i="8"/>
  <c r="F44" i="8"/>
  <c r="F22" i="8"/>
  <c r="J257" i="25"/>
  <c r="F251" i="25"/>
  <c r="H243" i="25"/>
  <c r="J236" i="25"/>
  <c r="F230" i="25"/>
  <c r="H223" i="25"/>
  <c r="J215" i="25"/>
  <c r="F208" i="25"/>
  <c r="H200" i="25"/>
  <c r="J191" i="25"/>
  <c r="H177" i="25"/>
  <c r="H257" i="25"/>
  <c r="J206" i="25"/>
  <c r="F153" i="25"/>
  <c r="J171" i="25"/>
  <c r="F85" i="12"/>
  <c r="F64" i="12"/>
  <c r="F43" i="12"/>
  <c r="F21" i="11"/>
  <c r="F55" i="10"/>
  <c r="F33" i="10"/>
  <c r="F56" i="9"/>
  <c r="F35" i="9"/>
  <c r="F64" i="8"/>
  <c r="F43" i="8"/>
  <c r="H215" i="25"/>
  <c r="J136" i="25"/>
  <c r="J147" i="25"/>
  <c r="F84" i="12"/>
  <c r="F63" i="12"/>
  <c r="F42" i="12"/>
  <c r="F20" i="11"/>
  <c r="F54" i="10"/>
  <c r="F32" i="10"/>
  <c r="F55" i="9"/>
  <c r="F34" i="9"/>
  <c r="F63" i="8"/>
  <c r="F42" i="8"/>
  <c r="F257" i="25"/>
  <c r="H250" i="25"/>
  <c r="J242" i="25"/>
  <c r="F236" i="25"/>
  <c r="H229" i="25"/>
  <c r="J222" i="25"/>
  <c r="F215" i="25"/>
  <c r="H206" i="25"/>
  <c r="J198" i="25"/>
  <c r="F191" i="25"/>
  <c r="H183" i="25"/>
  <c r="J176" i="25"/>
  <c r="F168" i="25"/>
  <c r="H159" i="25"/>
  <c r="J152" i="25"/>
  <c r="F144" i="25"/>
  <c r="H136" i="25"/>
  <c r="H143" i="25"/>
  <c r="F83" i="12"/>
  <c r="F61" i="12"/>
  <c r="F41" i="12"/>
  <c r="F53" i="10"/>
  <c r="F31" i="10"/>
  <c r="F54" i="9"/>
  <c r="F33" i="9"/>
  <c r="F62" i="8"/>
  <c r="F41" i="8"/>
  <c r="J256" i="25"/>
  <c r="F250" i="25"/>
  <c r="H242" i="25"/>
  <c r="J235" i="25"/>
  <c r="F229" i="25"/>
  <c r="H222" i="25"/>
  <c r="J214" i="25"/>
  <c r="F206" i="25"/>
  <c r="H198" i="25"/>
  <c r="J190" i="25"/>
  <c r="F183" i="25"/>
  <c r="H176" i="25"/>
  <c r="J167" i="25"/>
  <c r="F159" i="25"/>
  <c r="H152" i="25"/>
  <c r="J143" i="25"/>
  <c r="F136" i="25"/>
  <c r="H167" i="25"/>
  <c r="F163" i="25"/>
  <c r="F82" i="12"/>
  <c r="F60" i="12"/>
  <c r="F40" i="12"/>
  <c r="F74" i="10"/>
  <c r="F52" i="10"/>
  <c r="F30" i="10"/>
  <c r="F53" i="9"/>
  <c r="F32" i="9"/>
  <c r="F61" i="8"/>
  <c r="F40" i="8"/>
  <c r="H256" i="25"/>
  <c r="J249" i="25"/>
  <c r="F242" i="25"/>
  <c r="H235" i="25"/>
  <c r="J228" i="25"/>
  <c r="F222" i="25"/>
  <c r="H214" i="25"/>
  <c r="J205" i="25"/>
  <c r="F198" i="25"/>
  <c r="H190" i="25"/>
  <c r="J182" i="25"/>
  <c r="F176" i="25"/>
  <c r="J158" i="25"/>
  <c r="H179" i="25"/>
  <c r="F81" i="12"/>
  <c r="F59" i="12"/>
  <c r="F39" i="12"/>
  <c r="F37" i="11"/>
  <c r="F73" i="10"/>
  <c r="F50" i="10"/>
  <c r="F29" i="10"/>
  <c r="F52" i="9"/>
  <c r="F31" i="9"/>
  <c r="F60" i="8"/>
  <c r="F39" i="8"/>
  <c r="F256" i="25"/>
  <c r="H249" i="25"/>
  <c r="J241" i="25"/>
  <c r="F235" i="25"/>
  <c r="H228" i="25"/>
  <c r="J221" i="25"/>
  <c r="F214" i="25"/>
  <c r="H205" i="25"/>
  <c r="J197" i="25"/>
  <c r="F190" i="25"/>
  <c r="H182" i="25"/>
  <c r="J175" i="25"/>
  <c r="F167" i="25"/>
  <c r="H158" i="25"/>
  <c r="J151" i="25"/>
  <c r="F143" i="25"/>
  <c r="F196" i="25"/>
  <c r="H140" i="25"/>
  <c r="F21" i="10"/>
  <c r="H253" i="25"/>
  <c r="F195" i="25"/>
  <c r="J155" i="25"/>
  <c r="F50" i="12"/>
  <c r="F41" i="10"/>
  <c r="F28" i="8"/>
  <c r="H245" i="25"/>
  <c r="F80" i="12"/>
  <c r="F58" i="12"/>
  <c r="F38" i="12"/>
  <c r="F36" i="11"/>
  <c r="F72" i="10"/>
  <c r="F49" i="10"/>
  <c r="F28" i="10"/>
  <c r="F51" i="9"/>
  <c r="F30" i="9"/>
  <c r="F59" i="8"/>
  <c r="F38" i="8"/>
  <c r="J255" i="25"/>
  <c r="F249" i="25"/>
  <c r="H241" i="25"/>
  <c r="J234" i="25"/>
  <c r="F228" i="25"/>
  <c r="H221" i="25"/>
  <c r="J213" i="25"/>
  <c r="F205" i="25"/>
  <c r="H197" i="25"/>
  <c r="J188" i="25"/>
  <c r="F182" i="25"/>
  <c r="H175" i="25"/>
  <c r="J166" i="25"/>
  <c r="F158" i="25"/>
  <c r="H151" i="25"/>
  <c r="J141" i="25"/>
  <c r="F188" i="25"/>
  <c r="J174" i="25"/>
  <c r="J149" i="25"/>
  <c r="F181" i="25"/>
  <c r="H149" i="25"/>
  <c r="J203" i="25"/>
  <c r="H165" i="25"/>
  <c r="F64" i="10"/>
  <c r="J202" i="25"/>
  <c r="F186" i="25"/>
  <c r="F79" i="12"/>
  <c r="F57" i="12"/>
  <c r="F37" i="12"/>
  <c r="F35" i="11"/>
  <c r="F71" i="10"/>
  <c r="F48" i="10"/>
  <c r="F27" i="10"/>
  <c r="F50" i="9"/>
  <c r="F29" i="9"/>
  <c r="F58" i="8"/>
  <c r="F37" i="8"/>
  <c r="H255" i="25"/>
  <c r="J248" i="25"/>
  <c r="F241" i="25"/>
  <c r="H234" i="25"/>
  <c r="J227" i="25"/>
  <c r="F221" i="25"/>
  <c r="H213" i="25"/>
  <c r="J204" i="25"/>
  <c r="F197" i="25"/>
  <c r="H188" i="25"/>
  <c r="J181" i="25"/>
  <c r="F175" i="25"/>
  <c r="H166" i="25"/>
  <c r="J157" i="25"/>
  <c r="F151" i="25"/>
  <c r="H141" i="25"/>
  <c r="J196" i="25"/>
  <c r="F166" i="25"/>
  <c r="F141" i="25"/>
  <c r="J187" i="25"/>
  <c r="F157" i="25"/>
  <c r="H211" i="25"/>
  <c r="J156" i="25"/>
  <c r="F29" i="11"/>
  <c r="F219" i="25"/>
  <c r="H163" i="25"/>
  <c r="F62" i="10"/>
  <c r="F22" i="9"/>
  <c r="J218" i="25"/>
  <c r="F78" i="12"/>
  <c r="F56" i="12"/>
  <c r="F36" i="12"/>
  <c r="F34" i="11"/>
  <c r="F70" i="10"/>
  <c r="F47" i="10"/>
  <c r="F26" i="10"/>
  <c r="F49" i="9"/>
  <c r="F28" i="9"/>
  <c r="F57" i="8"/>
  <c r="F36" i="8"/>
  <c r="F255" i="25"/>
  <c r="H248" i="25"/>
  <c r="J240" i="25"/>
  <c r="F234" i="25"/>
  <c r="H227" i="25"/>
  <c r="J220" i="25"/>
  <c r="F213" i="25"/>
  <c r="H204" i="25"/>
  <c r="H181" i="25"/>
  <c r="H157" i="25"/>
  <c r="J140" i="25"/>
  <c r="H187" i="25"/>
  <c r="F149" i="25"/>
  <c r="F42" i="10"/>
  <c r="J225" i="25"/>
  <c r="F172" i="25"/>
  <c r="F29" i="12"/>
  <c r="F43" i="9"/>
  <c r="J259" i="25"/>
  <c r="F77" i="12"/>
  <c r="F55" i="12"/>
  <c r="F35" i="12"/>
  <c r="F33" i="11"/>
  <c r="F69" i="10"/>
  <c r="F46" i="10"/>
  <c r="F25" i="10"/>
  <c r="F48" i="9"/>
  <c r="F27" i="9"/>
  <c r="F56" i="8"/>
  <c r="F34" i="8"/>
  <c r="J254" i="25"/>
  <c r="F248" i="25"/>
  <c r="H240" i="25"/>
  <c r="J233" i="25"/>
  <c r="F227" i="25"/>
  <c r="H220" i="25"/>
  <c r="J211" i="25"/>
  <c r="F204" i="25"/>
  <c r="H196" i="25"/>
  <c r="H174" i="25"/>
  <c r="J165" i="25"/>
  <c r="F174" i="25"/>
  <c r="F51" i="12"/>
  <c r="H186" i="25"/>
  <c r="F71" i="12"/>
  <c r="F253" i="25"/>
  <c r="F76" i="12"/>
  <c r="F54" i="12"/>
  <c r="F34" i="12"/>
  <c r="F32" i="11"/>
  <c r="F67" i="10"/>
  <c r="F45" i="10"/>
  <c r="F24" i="10"/>
  <c r="F47" i="9"/>
  <c r="F26" i="9"/>
  <c r="F55" i="8"/>
  <c r="F33" i="8"/>
  <c r="H254" i="25"/>
  <c r="J246" i="25"/>
  <c r="F240" i="25"/>
  <c r="H233" i="25"/>
  <c r="J226" i="25"/>
  <c r="F220" i="25"/>
  <c r="J180" i="25"/>
  <c r="F23" i="9"/>
  <c r="H232" i="25"/>
  <c r="H139" i="25"/>
  <c r="F210" i="25"/>
  <c r="F74" i="12"/>
  <c r="F53" i="12"/>
  <c r="F33" i="12"/>
  <c r="F31" i="11"/>
  <c r="F66" i="10"/>
  <c r="F44" i="10"/>
  <c r="F23" i="10"/>
  <c r="F46" i="9"/>
  <c r="F25" i="9"/>
  <c r="F54" i="8"/>
  <c r="F32" i="8"/>
  <c r="F254" i="25"/>
  <c r="H246" i="25"/>
  <c r="J239" i="25"/>
  <c r="F233" i="25"/>
  <c r="H226" i="25"/>
  <c r="J219" i="25"/>
  <c r="F211" i="25"/>
  <c r="H203" i="25"/>
  <c r="J195" i="25"/>
  <c r="F187" i="25"/>
  <c r="H180" i="25"/>
  <c r="J172" i="25"/>
  <c r="F165" i="25"/>
  <c r="H156" i="25"/>
  <c r="J148" i="25"/>
  <c r="F140" i="25"/>
  <c r="F30" i="12"/>
  <c r="F51" i="8"/>
  <c r="F239" i="25"/>
  <c r="F232" i="25"/>
  <c r="F73" i="12"/>
  <c r="F52" i="12"/>
  <c r="F31" i="12"/>
  <c r="F30" i="11"/>
  <c r="F65" i="10"/>
  <c r="F43" i="10"/>
  <c r="F22" i="10"/>
  <c r="F45" i="9"/>
  <c r="F24" i="9"/>
  <c r="F53" i="8"/>
  <c r="F31" i="8"/>
  <c r="J253" i="25"/>
  <c r="F246" i="25"/>
  <c r="H239" i="25"/>
  <c r="J232" i="25"/>
  <c r="F226" i="25"/>
  <c r="H219" i="25"/>
  <c r="J210" i="25"/>
  <c r="F203" i="25"/>
  <c r="H195" i="25"/>
  <c r="J186" i="25"/>
  <c r="F180" i="25"/>
  <c r="H172" i="25"/>
  <c r="J163" i="25"/>
  <c r="F156" i="25"/>
  <c r="H148" i="25"/>
  <c r="J139" i="25"/>
  <c r="F72" i="12"/>
  <c r="F44" i="9"/>
  <c r="F30" i="8"/>
  <c r="J245" i="25"/>
  <c r="H210" i="25"/>
  <c r="J179" i="25"/>
  <c r="F148" i="25"/>
  <c r="F28" i="11"/>
  <c r="F20" i="10"/>
  <c r="F50" i="8"/>
  <c r="H202" i="25"/>
  <c r="F70" i="12"/>
  <c r="F49" i="12"/>
  <c r="F28" i="12"/>
  <c r="F27" i="11"/>
  <c r="F61" i="10"/>
  <c r="F40" i="10"/>
  <c r="F42" i="9"/>
  <c r="F21" i="9"/>
  <c r="F49" i="8"/>
  <c r="F27" i="8"/>
  <c r="H259" i="25"/>
  <c r="J252" i="25"/>
  <c r="F245" i="25"/>
  <c r="H238" i="25"/>
  <c r="J231" i="25"/>
  <c r="F225" i="25"/>
  <c r="H218" i="25"/>
  <c r="J209" i="25"/>
  <c r="F202" i="25"/>
  <c r="H194" i="25"/>
  <c r="J185" i="25"/>
  <c r="F179" i="25"/>
  <c r="H171" i="25"/>
  <c r="J162" i="25"/>
  <c r="F155" i="25"/>
  <c r="H147" i="25"/>
  <c r="J138" i="25"/>
  <c r="H185" i="25"/>
  <c r="H162" i="25"/>
  <c r="F147" i="25"/>
  <c r="F201" i="25"/>
  <c r="J161" i="25"/>
  <c r="J200" i="25"/>
  <c r="J153" i="25"/>
  <c r="H153" i="25"/>
  <c r="J229" i="25"/>
  <c r="J183" i="25"/>
  <c r="H155" i="25"/>
  <c r="E191" i="25"/>
  <c r="E190" i="25"/>
  <c r="C214" i="25"/>
  <c r="I174" i="20"/>
  <c r="K174" i="20" s="1"/>
  <c r="G87" i="20"/>
  <c r="I188" i="25"/>
  <c r="C216" i="25"/>
  <c r="C155" i="25"/>
  <c r="I156" i="25"/>
  <c r="I246" i="25"/>
  <c r="C228" i="25"/>
  <c r="C249" i="25"/>
  <c r="C156" i="25"/>
  <c r="H320" i="20"/>
  <c r="I45" i="20"/>
  <c r="K45" i="20" s="1"/>
  <c r="G163" i="25"/>
  <c r="I147" i="20"/>
  <c r="K147" i="20" s="1"/>
  <c r="C230" i="25"/>
  <c r="I234" i="20"/>
  <c r="K234" i="20" s="1"/>
  <c r="J87" i="20"/>
  <c r="J151" i="20"/>
  <c r="H207" i="20"/>
  <c r="J303" i="20"/>
  <c r="H225" i="20"/>
  <c r="J125" i="20"/>
  <c r="J72" i="20"/>
  <c r="G136" i="20"/>
  <c r="H192" i="20"/>
  <c r="H49" i="20"/>
  <c r="G121" i="20"/>
  <c r="J233" i="20"/>
  <c r="J74" i="20"/>
  <c r="H122" i="20"/>
  <c r="J186" i="20"/>
  <c r="H173" i="20"/>
  <c r="J102" i="20"/>
  <c r="H35" i="20"/>
  <c r="H99" i="20"/>
  <c r="J163" i="20"/>
  <c r="H227" i="20"/>
  <c r="J116" i="20"/>
  <c r="H196" i="20"/>
  <c r="J221" i="20"/>
  <c r="J110" i="20"/>
  <c r="H148" i="20"/>
  <c r="I165" i="20"/>
  <c r="K165" i="20" s="1"/>
  <c r="G214" i="20"/>
  <c r="M186" i="20"/>
  <c r="Q186" i="20" s="1"/>
  <c r="M47" i="20"/>
  <c r="Q47" i="20" s="1"/>
  <c r="M329" i="20"/>
  <c r="Q329" i="20" s="1"/>
  <c r="M190" i="20"/>
  <c r="Q190" i="20" s="1"/>
  <c r="M191" i="20"/>
  <c r="Q191" i="20" s="1"/>
  <c r="M172" i="20"/>
  <c r="Q172" i="20" s="1"/>
  <c r="M113" i="20"/>
  <c r="Q113" i="20" s="1"/>
  <c r="I186" i="25"/>
  <c r="I206" i="25"/>
  <c r="I169" i="25"/>
  <c r="G187" i="25"/>
  <c r="G188" i="25"/>
  <c r="M324" i="20"/>
  <c r="Q324" i="20" s="1"/>
  <c r="M145" i="20"/>
  <c r="Q145" i="20" s="1"/>
  <c r="C147" i="25"/>
  <c r="G166" i="20"/>
  <c r="G26" i="20"/>
  <c r="G77" i="20"/>
  <c r="C136" i="25"/>
  <c r="I170" i="20"/>
  <c r="K170" i="20" s="1"/>
  <c r="I178" i="25"/>
  <c r="I148" i="25"/>
  <c r="G195" i="25"/>
  <c r="C159" i="25"/>
  <c r="G218" i="25"/>
  <c r="G232" i="20"/>
  <c r="C232" i="25"/>
  <c r="C253" i="25"/>
  <c r="I149" i="20"/>
  <c r="K149" i="20" s="1"/>
  <c r="G153" i="25"/>
  <c r="I49" i="20"/>
  <c r="K49" i="20" s="1"/>
  <c r="I144" i="20"/>
  <c r="K144" i="20" s="1"/>
  <c r="C238" i="25"/>
  <c r="G75" i="20"/>
  <c r="I87" i="20"/>
  <c r="K87" i="20" s="1"/>
  <c r="I151" i="20"/>
  <c r="K151" i="20" s="1"/>
  <c r="J215" i="20"/>
  <c r="H303" i="20"/>
  <c r="J225" i="20"/>
  <c r="G125" i="20"/>
  <c r="H72" i="20"/>
  <c r="J136" i="20"/>
  <c r="G200" i="20"/>
  <c r="H57" i="20"/>
  <c r="H137" i="20"/>
  <c r="G233" i="20"/>
  <c r="I74" i="20"/>
  <c r="K74" i="20" s="1"/>
  <c r="J130" i="20"/>
  <c r="H186" i="20"/>
  <c r="J173" i="20"/>
  <c r="I102" i="20"/>
  <c r="K102" i="20" s="1"/>
  <c r="J43" i="20"/>
  <c r="J107" i="20"/>
  <c r="H163" i="20"/>
  <c r="J235" i="20"/>
  <c r="J28" i="20"/>
  <c r="I116" i="20"/>
  <c r="K116" i="20" s="1"/>
  <c r="G212" i="20"/>
  <c r="H237" i="20"/>
  <c r="I110" i="20"/>
  <c r="K110" i="20" s="1"/>
  <c r="J172" i="20"/>
  <c r="J165" i="20"/>
  <c r="J214" i="20"/>
  <c r="M206" i="20"/>
  <c r="Q206" i="20" s="1"/>
  <c r="M67" i="20"/>
  <c r="Q67" i="20" s="1"/>
  <c r="G227" i="25"/>
  <c r="M230" i="20"/>
  <c r="Q230" i="20" s="1"/>
  <c r="M210" i="20"/>
  <c r="Q210" i="20" s="1"/>
  <c r="M211" i="20"/>
  <c r="Q211" i="20" s="1"/>
  <c r="M192" i="20"/>
  <c r="Q192" i="20" s="1"/>
  <c r="M133" i="20"/>
  <c r="Q133" i="20" s="1"/>
  <c r="M34" i="20"/>
  <c r="Q34" i="20" s="1"/>
  <c r="M64" i="20"/>
  <c r="Q64" i="20" s="1"/>
  <c r="G143" i="25"/>
  <c r="M165" i="20"/>
  <c r="Q165" i="20" s="1"/>
  <c r="C176" i="25"/>
  <c r="G104" i="20"/>
  <c r="I129" i="20"/>
  <c r="K129" i="20" s="1"/>
  <c r="G191" i="25"/>
  <c r="G162" i="20"/>
  <c r="G100" i="20"/>
  <c r="C180" i="25"/>
  <c r="G161" i="25"/>
  <c r="C250" i="25"/>
  <c r="I166" i="20"/>
  <c r="K166" i="20" s="1"/>
  <c r="I108" i="20"/>
  <c r="K108" i="20" s="1"/>
  <c r="G106" i="20"/>
  <c r="I166" i="25"/>
  <c r="G140" i="25"/>
  <c r="I183" i="25"/>
  <c r="C195" i="25"/>
  <c r="G141" i="20"/>
  <c r="I223" i="25"/>
  <c r="C221" i="25"/>
  <c r="G251" i="25"/>
  <c r="C236" i="25"/>
  <c r="C257" i="25"/>
  <c r="I158" i="20"/>
  <c r="K158" i="20" s="1"/>
  <c r="G257" i="25"/>
  <c r="I232" i="25"/>
  <c r="I228" i="25"/>
  <c r="C144" i="25"/>
  <c r="G183" i="20"/>
  <c r="J31" i="20"/>
  <c r="H87" i="20"/>
  <c r="H151" i="20"/>
  <c r="H215" i="20"/>
  <c r="H311" i="20"/>
  <c r="H157" i="20"/>
  <c r="G80" i="20"/>
  <c r="H136" i="20"/>
  <c r="J200" i="20"/>
  <c r="J57" i="20"/>
  <c r="J137" i="20"/>
  <c r="H74" i="20"/>
  <c r="I130" i="20"/>
  <c r="K130" i="20" s="1"/>
  <c r="G194" i="20"/>
  <c r="H197" i="20"/>
  <c r="H102" i="20"/>
  <c r="H43" i="20"/>
  <c r="I107" i="20"/>
  <c r="K107" i="20" s="1"/>
  <c r="G163" i="20"/>
  <c r="H235" i="20"/>
  <c r="I28" i="20"/>
  <c r="K28" i="20" s="1"/>
  <c r="H116" i="20"/>
  <c r="J212" i="20"/>
  <c r="J237" i="20"/>
  <c r="H110" i="20"/>
  <c r="I172" i="20"/>
  <c r="K172" i="20" s="1"/>
  <c r="H213" i="20"/>
  <c r="H214" i="20"/>
  <c r="M226" i="20"/>
  <c r="Q226" i="20" s="1"/>
  <c r="M87" i="20"/>
  <c r="Q87" i="20" s="1"/>
  <c r="M28" i="20"/>
  <c r="Q28" i="20" s="1"/>
  <c r="I198" i="25"/>
  <c r="M331" i="20"/>
  <c r="Q331" i="20" s="1"/>
  <c r="M310" i="20"/>
  <c r="Q310" i="20" s="1"/>
  <c r="M231" i="20"/>
  <c r="Q231" i="20" s="1"/>
  <c r="M212" i="20"/>
  <c r="Q212" i="20" s="1"/>
  <c r="M153" i="20"/>
  <c r="Q153" i="20" s="1"/>
  <c r="M54" i="20"/>
  <c r="Q54" i="20" s="1"/>
  <c r="I149" i="25"/>
  <c r="I157" i="25"/>
  <c r="G223" i="25"/>
  <c r="M185" i="20"/>
  <c r="Q185" i="20" s="1"/>
  <c r="G170" i="20"/>
  <c r="I126" i="20"/>
  <c r="K126" i="20" s="1"/>
  <c r="C152" i="25"/>
  <c r="C201" i="25"/>
  <c r="C194" i="25"/>
  <c r="I162" i="20"/>
  <c r="K162" i="20" s="1"/>
  <c r="I104" i="20"/>
  <c r="K104" i="20" s="1"/>
  <c r="G171" i="25"/>
  <c r="G102" i="20"/>
  <c r="G166" i="25"/>
  <c r="I83" i="20"/>
  <c r="K83" i="20" s="1"/>
  <c r="C178" i="25"/>
  <c r="G157" i="20"/>
  <c r="G68" i="20"/>
  <c r="I227" i="25"/>
  <c r="G222" i="25"/>
  <c r="G236" i="20"/>
  <c r="C254" i="25"/>
  <c r="C240" i="25"/>
  <c r="I151" i="25"/>
  <c r="I209" i="25"/>
  <c r="I150" i="20"/>
  <c r="K150" i="20" s="1"/>
  <c r="I221" i="25"/>
  <c r="I190" i="25"/>
  <c r="G254" i="25"/>
  <c r="G67" i="20"/>
  <c r="I39" i="20"/>
  <c r="K39" i="20" s="1"/>
  <c r="C139" i="25"/>
  <c r="H31" i="20"/>
  <c r="J95" i="20"/>
  <c r="J159" i="20"/>
  <c r="J223" i="20"/>
  <c r="I89" i="20"/>
  <c r="K89" i="20" s="1"/>
  <c r="J157" i="20"/>
  <c r="J80" i="20"/>
  <c r="G144" i="20"/>
  <c r="H200" i="20"/>
  <c r="J65" i="20"/>
  <c r="H145" i="20"/>
  <c r="J82" i="20"/>
  <c r="H130" i="20"/>
  <c r="J194" i="20"/>
  <c r="J197" i="20"/>
  <c r="G118" i="20"/>
  <c r="G43" i="20"/>
  <c r="H107" i="20"/>
  <c r="J171" i="20"/>
  <c r="G235" i="20"/>
  <c r="H28" i="20"/>
  <c r="J124" i="20"/>
  <c r="H212" i="20"/>
  <c r="G237" i="20"/>
  <c r="J126" i="20"/>
  <c r="H172" i="20"/>
  <c r="J213" i="20"/>
  <c r="M306" i="20"/>
  <c r="Q306" i="20" s="1"/>
  <c r="M107" i="20"/>
  <c r="Q107" i="20" s="1"/>
  <c r="M48" i="20"/>
  <c r="Q48" i="20" s="1"/>
  <c r="G180" i="25"/>
  <c r="M217" i="20"/>
  <c r="Q217" i="20" s="1"/>
  <c r="M314" i="20"/>
  <c r="Q314" i="20" s="1"/>
  <c r="M311" i="20"/>
  <c r="Q311" i="20" s="1"/>
  <c r="M232" i="20"/>
  <c r="Q232" i="20" s="1"/>
  <c r="M173" i="20"/>
  <c r="Q173" i="20" s="1"/>
  <c r="M74" i="20"/>
  <c r="Q74" i="20" s="1"/>
  <c r="M35" i="20"/>
  <c r="Q35" i="20" s="1"/>
  <c r="G235" i="25"/>
  <c r="I140" i="25"/>
  <c r="G243" i="25"/>
  <c r="M205" i="20"/>
  <c r="Q205" i="20" s="1"/>
  <c r="G108" i="20"/>
  <c r="G137" i="25"/>
  <c r="C172" i="25"/>
  <c r="G111" i="20"/>
  <c r="I100" i="20"/>
  <c r="K100" i="20" s="1"/>
  <c r="G139" i="25"/>
  <c r="G98" i="20"/>
  <c r="C168" i="25"/>
  <c r="I91" i="20"/>
  <c r="K91" i="20" s="1"/>
  <c r="G93" i="20"/>
  <c r="G161" i="20"/>
  <c r="C163" i="25"/>
  <c r="G145" i="20"/>
  <c r="I231" i="25"/>
  <c r="C225" i="25"/>
  <c r="G143" i="20"/>
  <c r="G255" i="25"/>
  <c r="C244" i="25"/>
  <c r="I154" i="25"/>
  <c r="G116" i="20"/>
  <c r="G198" i="25"/>
  <c r="I225" i="25"/>
  <c r="I34" i="20"/>
  <c r="K34" i="20" s="1"/>
  <c r="G142" i="20"/>
  <c r="I43" i="20"/>
  <c r="K43" i="20" s="1"/>
  <c r="I31" i="20"/>
  <c r="K31" i="20" s="1"/>
  <c r="H95" i="20"/>
  <c r="I159" i="20"/>
  <c r="K159" i="20" s="1"/>
  <c r="H223" i="20"/>
  <c r="H89" i="20"/>
  <c r="H181" i="20"/>
  <c r="H80" i="20"/>
  <c r="J144" i="20"/>
  <c r="G208" i="20"/>
  <c r="H65" i="20"/>
  <c r="J145" i="20"/>
  <c r="J26" i="20"/>
  <c r="I82" i="20"/>
  <c r="K82" i="20" s="1"/>
  <c r="G138" i="20"/>
  <c r="H194" i="20"/>
  <c r="G197" i="20"/>
  <c r="J118" i="20"/>
  <c r="J51" i="20"/>
  <c r="J115" i="20"/>
  <c r="H171" i="20"/>
  <c r="J36" i="20"/>
  <c r="H124" i="20"/>
  <c r="J228" i="20"/>
  <c r="H308" i="20"/>
  <c r="H126" i="20"/>
  <c r="G188" i="20"/>
  <c r="G213" i="20"/>
  <c r="G306" i="20"/>
  <c r="G224" i="25"/>
  <c r="M326" i="20"/>
  <c r="Q326" i="20" s="1"/>
  <c r="M127" i="20"/>
  <c r="Q127" i="20" s="1"/>
  <c r="M68" i="20"/>
  <c r="Q68" i="20" s="1"/>
  <c r="M43" i="20"/>
  <c r="Q43" i="20" s="1"/>
  <c r="M204" i="20"/>
  <c r="Q204" i="20" s="1"/>
  <c r="M177" i="20"/>
  <c r="Q177" i="20" s="1"/>
  <c r="M312" i="20"/>
  <c r="Q312" i="20" s="1"/>
  <c r="M193" i="20"/>
  <c r="Q193" i="20" s="1"/>
  <c r="M94" i="20"/>
  <c r="Q94" i="20" s="1"/>
  <c r="M55" i="20"/>
  <c r="Q55" i="20" s="1"/>
  <c r="I141" i="25"/>
  <c r="M40" i="20"/>
  <c r="Q40" i="20" s="1"/>
  <c r="I197" i="25"/>
  <c r="M225" i="20"/>
  <c r="Q225" i="20" s="1"/>
  <c r="G327" i="20"/>
  <c r="G316" i="20"/>
  <c r="I324" i="20"/>
  <c r="K324" i="20" s="1"/>
  <c r="J313" i="20"/>
  <c r="H316" i="20"/>
  <c r="I318" i="20"/>
  <c r="K318" i="20" s="1"/>
  <c r="I316" i="20"/>
  <c r="K316" i="20" s="1"/>
  <c r="I321" i="20"/>
  <c r="K321" i="20" s="1"/>
  <c r="G325" i="20"/>
  <c r="H325" i="20"/>
  <c r="G319" i="20"/>
  <c r="H321" i="20"/>
  <c r="J331" i="20"/>
  <c r="H331" i="20"/>
  <c r="J325" i="20"/>
  <c r="J320" i="20"/>
  <c r="G323" i="20"/>
  <c r="J323" i="20"/>
  <c r="I317" i="20"/>
  <c r="K317" i="20" s="1"/>
  <c r="J319" i="20"/>
  <c r="H313" i="20"/>
  <c r="H328" i="20"/>
  <c r="J316" i="20"/>
  <c r="G310" i="20"/>
  <c r="I327" i="20"/>
  <c r="K327" i="20" s="1"/>
  <c r="I312" i="20"/>
  <c r="K312" i="20" s="1"/>
  <c r="I329" i="20"/>
  <c r="K329" i="20" s="1"/>
  <c r="H319" i="20"/>
  <c r="J329" i="20"/>
  <c r="I328" i="20"/>
  <c r="K328" i="20" s="1"/>
  <c r="H332" i="20"/>
  <c r="G326" i="20"/>
  <c r="I333" i="20"/>
  <c r="K333" i="20" s="1"/>
  <c r="G320" i="20"/>
  <c r="J327" i="20"/>
  <c r="G329" i="20"/>
  <c r="J328" i="20"/>
  <c r="I332" i="20"/>
  <c r="K332" i="20" s="1"/>
  <c r="G314" i="20"/>
  <c r="G331" i="20"/>
  <c r="G328" i="20"/>
  <c r="H327" i="20"/>
  <c r="H329" i="20"/>
  <c r="H326" i="20"/>
  <c r="J332" i="20"/>
  <c r="I315" i="20"/>
  <c r="K315" i="20" s="1"/>
  <c r="I331" i="20"/>
  <c r="K331" i="20" s="1"/>
  <c r="G332" i="20"/>
  <c r="J326" i="20"/>
  <c r="I319" i="20"/>
  <c r="K319" i="20" s="1"/>
  <c r="J317" i="20"/>
  <c r="H310" i="20"/>
  <c r="H317" i="20"/>
  <c r="G324" i="20"/>
  <c r="F33" i="13"/>
  <c r="F55" i="13"/>
  <c r="F32" i="13"/>
  <c r="F54" i="13"/>
  <c r="F31" i="13"/>
  <c r="F53" i="13"/>
  <c r="F30" i="13"/>
  <c r="F52" i="13"/>
  <c r="F29" i="13"/>
  <c r="F51" i="13"/>
  <c r="F27" i="13"/>
  <c r="F50" i="13"/>
  <c r="F26" i="13"/>
  <c r="F48" i="13"/>
  <c r="F25" i="13"/>
  <c r="F47" i="13"/>
  <c r="F24" i="13"/>
  <c r="F46" i="13"/>
  <c r="F23" i="13"/>
  <c r="F45" i="13"/>
  <c r="F21" i="13"/>
  <c r="F44" i="13"/>
  <c r="F20" i="13"/>
  <c r="F43" i="13"/>
  <c r="F42" i="13"/>
  <c r="F41" i="13"/>
  <c r="F39" i="13"/>
  <c r="F38" i="13"/>
  <c r="F37" i="13"/>
  <c r="F36" i="13"/>
  <c r="F35" i="13"/>
  <c r="J310" i="20"/>
  <c r="G333" i="20"/>
  <c r="H324" i="20"/>
  <c r="G317" i="20"/>
  <c r="I325" i="20"/>
  <c r="K325" i="20" s="1"/>
  <c r="H314" i="20"/>
  <c r="J333" i="20"/>
  <c r="J324" i="20"/>
  <c r="J314" i="20"/>
  <c r="H333" i="20"/>
  <c r="H322" i="20"/>
  <c r="H318" i="20"/>
  <c r="I322" i="20"/>
  <c r="K322" i="20" s="1"/>
  <c r="J322" i="20"/>
  <c r="G315" i="20"/>
  <c r="J318" i="20"/>
  <c r="I326" i="20"/>
  <c r="K326" i="20" s="1"/>
  <c r="H330" i="20"/>
  <c r="J315" i="20"/>
  <c r="G312" i="20"/>
  <c r="I330" i="20"/>
  <c r="K330" i="20" s="1"/>
  <c r="H315" i="20"/>
  <c r="G313" i="20"/>
  <c r="G330" i="20"/>
  <c r="I320" i="20"/>
  <c r="K320" i="20" s="1"/>
  <c r="G311" i="20"/>
  <c r="I311" i="20"/>
  <c r="K311" i="20" s="1"/>
  <c r="H312" i="20"/>
  <c r="G321" i="20"/>
  <c r="J330" i="20"/>
  <c r="J311" i="20"/>
  <c r="J312" i="20"/>
  <c r="J321" i="20"/>
  <c r="H323" i="20"/>
  <c r="I135" i="20"/>
  <c r="K135" i="20" s="1"/>
  <c r="I120" i="20"/>
  <c r="K120" i="20" s="1"/>
  <c r="I200" i="20"/>
  <c r="K200" i="20" s="1"/>
  <c r="G224" i="20"/>
  <c r="I194" i="20"/>
  <c r="K194" i="20" s="1"/>
  <c r="I38" i="20"/>
  <c r="K38" i="20" s="1"/>
  <c r="G124" i="20"/>
  <c r="I181" i="20"/>
  <c r="K181" i="20" s="1"/>
  <c r="I184" i="20"/>
  <c r="K184" i="20" s="1"/>
  <c r="G25" i="20"/>
  <c r="I114" i="20"/>
  <c r="K114" i="20" s="1"/>
  <c r="G51" i="20"/>
  <c r="I171" i="20"/>
  <c r="K171" i="20" s="1"/>
  <c r="I60" i="20"/>
  <c r="K60" i="20" s="1"/>
  <c r="G172" i="20"/>
  <c r="G71" i="20"/>
  <c r="I119" i="20"/>
  <c r="K119" i="20" s="1"/>
  <c r="G15" i="20"/>
  <c r="I137" i="20"/>
  <c r="K137" i="20" s="1"/>
  <c r="I58" i="20"/>
  <c r="K58" i="20" s="1"/>
  <c r="I182" i="20"/>
  <c r="K182" i="20" s="1"/>
  <c r="I215" i="20"/>
  <c r="K215" i="20" s="1"/>
  <c r="G53" i="20"/>
  <c r="G176" i="20"/>
  <c r="I193" i="20"/>
  <c r="K193" i="20" s="1"/>
  <c r="G90" i="20"/>
  <c r="I202" i="20"/>
  <c r="K202" i="20" s="1"/>
  <c r="I203" i="20"/>
  <c r="K203" i="20" s="1"/>
  <c r="G29" i="20"/>
  <c r="G96" i="20"/>
  <c r="I152" i="20"/>
  <c r="K152" i="20" s="1"/>
  <c r="G57" i="20"/>
  <c r="I198" i="20"/>
  <c r="K198" i="20" s="1"/>
  <c r="I216" i="20"/>
  <c r="K216" i="20" s="1"/>
  <c r="G21" i="20"/>
  <c r="I62" i="20"/>
  <c r="K62" i="20" s="1"/>
  <c r="I209" i="20"/>
  <c r="K209" i="20" s="1"/>
  <c r="G186" i="20"/>
  <c r="I64" i="20"/>
  <c r="K64" i="20" s="1"/>
  <c r="G55" i="20"/>
  <c r="I190" i="20"/>
  <c r="K190" i="20" s="1"/>
  <c r="I96" i="20"/>
  <c r="K96" i="20" s="1"/>
  <c r="I192" i="20"/>
  <c r="K192" i="20" s="1"/>
  <c r="I208" i="20"/>
  <c r="K208" i="20" s="1"/>
  <c r="I224" i="20"/>
  <c r="K224" i="20" s="1"/>
  <c r="I122" i="20"/>
  <c r="K122" i="20" s="1"/>
  <c r="I154" i="20"/>
  <c r="K154" i="20" s="1"/>
  <c r="I186" i="20"/>
  <c r="K186" i="20" s="1"/>
  <c r="I218" i="20"/>
  <c r="K218" i="20" s="1"/>
  <c r="G61" i="20"/>
  <c r="I118" i="20"/>
  <c r="K118" i="20" s="1"/>
  <c r="I206" i="20"/>
  <c r="K206" i="20" s="1"/>
  <c r="G27" i="20"/>
  <c r="G59" i="20"/>
  <c r="I124" i="20"/>
  <c r="K124" i="20" s="1"/>
  <c r="I212" i="20"/>
  <c r="K212" i="20" s="1"/>
  <c r="I132" i="20"/>
  <c r="K132" i="20" s="1"/>
  <c r="I204" i="20"/>
  <c r="K204" i="20" s="1"/>
  <c r="I125" i="20"/>
  <c r="K125" i="20" s="1"/>
  <c r="I22" i="20"/>
  <c r="K22" i="20" s="1"/>
  <c r="I197" i="20"/>
  <c r="K197" i="20" s="1"/>
  <c r="I187" i="20"/>
  <c r="K187" i="20" s="1"/>
  <c r="I219" i="20"/>
  <c r="K219" i="20" s="1"/>
  <c r="G22" i="20"/>
  <c r="I55" i="20"/>
  <c r="K55" i="20" s="1"/>
  <c r="G119" i="20"/>
  <c r="G135" i="20"/>
  <c r="G151" i="20"/>
  <c r="G199" i="20"/>
  <c r="G215" i="20"/>
  <c r="G12" i="20"/>
  <c r="G181" i="20"/>
  <c r="I15" i="20"/>
  <c r="K15" i="20" s="1"/>
  <c r="G64" i="20"/>
  <c r="I25" i="20"/>
  <c r="K25" i="20" s="1"/>
  <c r="I57" i="20"/>
  <c r="K57" i="20" s="1"/>
  <c r="G97" i="20"/>
  <c r="G137" i="20"/>
  <c r="G217" i="20"/>
  <c r="G58" i="20"/>
  <c r="I13" i="20"/>
  <c r="K13" i="20" s="1"/>
  <c r="I59" i="20"/>
  <c r="K59" i="20" s="1"/>
  <c r="G123" i="20"/>
  <c r="G155" i="20"/>
  <c r="G187" i="20"/>
  <c r="G203" i="20"/>
  <c r="G219" i="20"/>
  <c r="G28" i="20"/>
  <c r="G221" i="20"/>
  <c r="G60" i="20"/>
  <c r="G165" i="20"/>
  <c r="G62" i="20"/>
  <c r="G31" i="20"/>
  <c r="G63" i="20"/>
  <c r="I153" i="20"/>
  <c r="K153" i="20" s="1"/>
  <c r="I205" i="20"/>
  <c r="K205" i="20" s="1"/>
  <c r="G152" i="20"/>
  <c r="G184" i="20"/>
  <c r="G216" i="20"/>
  <c r="I121" i="20"/>
  <c r="K121" i="20" s="1"/>
  <c r="I177" i="20"/>
  <c r="K177" i="20" s="1"/>
  <c r="I201" i="20"/>
  <c r="K201" i="20" s="1"/>
  <c r="G78" i="20"/>
  <c r="G182" i="20"/>
  <c r="G164" i="20"/>
  <c r="I189" i="20"/>
  <c r="K189" i="20" s="1"/>
  <c r="G94" i="20"/>
  <c r="G222" i="20"/>
  <c r="G220" i="20"/>
  <c r="I14" i="20"/>
  <c r="K14" i="20" s="1"/>
  <c r="I79" i="20"/>
  <c r="K79" i="20" s="1"/>
  <c r="I175" i="20"/>
  <c r="K175" i="20" s="1"/>
  <c r="I191" i="20"/>
  <c r="K191" i="20" s="1"/>
  <c r="I207" i="20"/>
  <c r="K207" i="20" s="1"/>
  <c r="I223" i="20"/>
  <c r="K223" i="20" s="1"/>
  <c r="I56" i="20"/>
  <c r="K56" i="20" s="1"/>
  <c r="I115" i="20"/>
  <c r="K115" i="20" s="1"/>
  <c r="I195" i="20"/>
  <c r="K195" i="20" s="1"/>
  <c r="I211" i="20"/>
  <c r="K211" i="20" s="1"/>
  <c r="I227" i="20"/>
  <c r="K227" i="20" s="1"/>
  <c r="I36" i="20"/>
  <c r="K36" i="20" s="1"/>
  <c r="I52" i="20"/>
  <c r="K52" i="20" s="1"/>
  <c r="I20" i="20"/>
  <c r="K20" i="20" s="1"/>
  <c r="I133" i="20"/>
  <c r="K133" i="20" s="1"/>
  <c r="I213" i="20"/>
  <c r="K213" i="20" s="1"/>
  <c r="I188" i="20"/>
  <c r="K188" i="20" s="1"/>
  <c r="I220" i="20"/>
  <c r="K220" i="20" s="1"/>
  <c r="I214" i="20"/>
  <c r="K214" i="20" s="1"/>
  <c r="G65" i="20"/>
  <c r="I178" i="20"/>
  <c r="K178" i="20" s="1"/>
  <c r="I210" i="20"/>
  <c r="K210" i="20" s="1"/>
  <c r="I226" i="20"/>
  <c r="K226" i="20" s="1"/>
  <c r="I78" i="20"/>
  <c r="K78" i="20" s="1"/>
  <c r="I134" i="20"/>
  <c r="K134" i="20" s="1"/>
  <c r="I196" i="20"/>
  <c r="K196" i="20" s="1"/>
  <c r="G14" i="20"/>
  <c r="I63" i="20"/>
  <c r="K63" i="20" s="1"/>
  <c r="G79" i="20"/>
  <c r="G127" i="20"/>
  <c r="G159" i="20"/>
  <c r="G175" i="20"/>
  <c r="G191" i="20"/>
  <c r="G207" i="20"/>
  <c r="G223" i="20"/>
  <c r="G89" i="20"/>
  <c r="G153" i="20"/>
  <c r="G225" i="20"/>
  <c r="I29" i="20"/>
  <c r="K29" i="20" s="1"/>
  <c r="G56" i="20"/>
  <c r="I65" i="20"/>
  <c r="K65" i="20" s="1"/>
  <c r="G177" i="20"/>
  <c r="G50" i="20"/>
  <c r="G173" i="20"/>
  <c r="I21" i="20"/>
  <c r="K21" i="20" s="1"/>
  <c r="I51" i="20"/>
  <c r="K51" i="20" s="1"/>
  <c r="G115" i="20"/>
  <c r="G179" i="20"/>
  <c r="G195" i="20"/>
  <c r="G211" i="20"/>
  <c r="G227" i="20"/>
  <c r="G20" i="20"/>
  <c r="G117" i="20"/>
  <c r="G30" i="20"/>
  <c r="P11" i="3"/>
  <c r="P19" i="3"/>
  <c r="P27" i="3"/>
  <c r="P35" i="3"/>
  <c r="P28" i="3"/>
  <c r="P36" i="3"/>
  <c r="P13" i="3"/>
  <c r="P21" i="3"/>
  <c r="P6" i="3"/>
  <c r="P30" i="3"/>
  <c r="P38" i="3"/>
  <c r="P23" i="3"/>
  <c r="P31" i="3"/>
  <c r="P8" i="3"/>
  <c r="P24" i="3"/>
  <c r="P17" i="3"/>
  <c r="P25" i="3"/>
  <c r="P18" i="3"/>
  <c r="P26" i="3"/>
  <c r="P12" i="3"/>
  <c r="P20" i="3"/>
  <c r="P5" i="3"/>
  <c r="P29" i="3"/>
  <c r="P37" i="3"/>
  <c r="P14" i="3"/>
  <c r="P22" i="3"/>
  <c r="P7" i="3"/>
  <c r="P15" i="3"/>
  <c r="P4" i="3"/>
  <c r="P16" i="3"/>
  <c r="P32" i="3"/>
  <c r="P9" i="3"/>
  <c r="P33" i="3"/>
  <c r="P10" i="3"/>
  <c r="P34" i="3"/>
  <c r="F237" i="20"/>
  <c r="F294" i="20"/>
  <c r="L294" i="20" s="1"/>
  <c r="F281" i="20"/>
  <c r="L281" i="20" s="1"/>
  <c r="F292" i="20"/>
  <c r="L292" i="20" s="1"/>
  <c r="F238" i="20"/>
  <c r="F284" i="20"/>
  <c r="L284" i="20" s="1"/>
  <c r="F276" i="20"/>
  <c r="L276" i="20" s="1"/>
  <c r="F266" i="20"/>
  <c r="L266" i="20" s="1"/>
  <c r="F257" i="20"/>
  <c r="L257" i="20" s="1"/>
  <c r="F270" i="20"/>
  <c r="L270" i="20" s="1"/>
  <c r="F252" i="20"/>
  <c r="L252" i="20" s="1"/>
  <c r="F274" i="20"/>
  <c r="L274" i="20" s="1"/>
  <c r="F259" i="20"/>
  <c r="L259" i="20" s="1"/>
  <c r="F262" i="20"/>
  <c r="L262" i="20" s="1"/>
  <c r="F255" i="20"/>
  <c r="L255" i="20" s="1"/>
  <c r="F273" i="20"/>
  <c r="L273" i="20" s="1"/>
  <c r="F243" i="20"/>
  <c r="L243" i="20" s="1"/>
  <c r="F249" i="20"/>
  <c r="F289" i="20"/>
  <c r="L289" i="20" s="1"/>
  <c r="F244" i="20"/>
  <c r="F268" i="20"/>
  <c r="L268" i="20" s="1"/>
  <c r="F288" i="20"/>
  <c r="L288" i="20" s="1"/>
  <c r="F286" i="20"/>
  <c r="L286" i="20" s="1"/>
  <c r="F260" i="20"/>
  <c r="L260" i="20" s="1"/>
  <c r="F279" i="20"/>
  <c r="L279" i="20" s="1"/>
  <c r="F264" i="20"/>
  <c r="L264" i="20" s="1"/>
  <c r="F247" i="20"/>
  <c r="F242" i="20"/>
  <c r="F239" i="20"/>
  <c r="F278" i="20"/>
  <c r="L278" i="20" s="1"/>
  <c r="F263" i="20"/>
  <c r="L263" i="20" s="1"/>
  <c r="F287" i="20"/>
  <c r="L287" i="20" s="1"/>
  <c r="F267" i="20"/>
  <c r="L267" i="20" s="1"/>
  <c r="F271" i="20"/>
  <c r="L271" i="20" s="1"/>
  <c r="F253" i="20"/>
  <c r="L253" i="20" s="1"/>
  <c r="F250" i="20"/>
  <c r="L250" i="20" s="1"/>
  <c r="F285" i="20"/>
  <c r="L285" i="20" s="1"/>
  <c r="F240" i="20"/>
  <c r="F293" i="20"/>
  <c r="L293" i="20" s="1"/>
  <c r="F246" i="20"/>
  <c r="L246" i="20" s="1"/>
  <c r="F241" i="20"/>
  <c r="F245" i="20"/>
  <c r="L245" i="20" s="1"/>
  <c r="F248" i="20"/>
  <c r="F295" i="20"/>
  <c r="F277" i="20"/>
  <c r="L277" i="20" s="1"/>
  <c r="F280" i="20"/>
  <c r="L280" i="20" s="1"/>
  <c r="F282" i="20"/>
  <c r="L282" i="20" s="1"/>
  <c r="F290" i="20"/>
  <c r="L290" i="20" s="1"/>
  <c r="F258" i="20"/>
  <c r="L258" i="20" s="1"/>
  <c r="F251" i="20"/>
  <c r="L251" i="20" s="1"/>
  <c r="F261" i="20"/>
  <c r="F256" i="20"/>
  <c r="L256" i="20" s="1"/>
  <c r="F254" i="20"/>
  <c r="L254" i="20" s="1"/>
  <c r="F269" i="20"/>
  <c r="L269" i="20" s="1"/>
  <c r="F272" i="20"/>
  <c r="L272" i="20" s="1"/>
  <c r="F265" i="20"/>
  <c r="L265" i="20" s="1"/>
  <c r="F283" i="20"/>
  <c r="L283" i="20" s="1"/>
  <c r="F275" i="20"/>
  <c r="L275" i="20" s="1"/>
  <c r="F291" i="20"/>
  <c r="L291" i="20" s="1"/>
  <c r="F297" i="20"/>
  <c r="F301" i="20"/>
  <c r="F302" i="20"/>
  <c r="L302" i="20" s="1"/>
  <c r="F296" i="20"/>
  <c r="F298" i="20"/>
  <c r="F300" i="20"/>
  <c r="F299" i="20"/>
  <c r="F16" i="20"/>
  <c r="F105" i="20"/>
  <c r="F110" i="20"/>
  <c r="F168" i="20"/>
  <c r="F90" i="20"/>
  <c r="F77" i="20"/>
  <c r="F160" i="20"/>
  <c r="F155" i="20"/>
  <c r="F136" i="20"/>
  <c r="F149" i="20"/>
  <c r="F236" i="20"/>
  <c r="F312" i="20"/>
  <c r="F324" i="20"/>
  <c r="F332" i="20"/>
  <c r="F318" i="20"/>
  <c r="F49" i="20"/>
  <c r="F40" i="20"/>
  <c r="F43" i="20"/>
  <c r="F146" i="20"/>
  <c r="F139" i="20"/>
  <c r="F235" i="20"/>
  <c r="F231" i="20"/>
  <c r="F323" i="20"/>
  <c r="F101" i="20"/>
  <c r="F107" i="20"/>
  <c r="F102" i="20"/>
  <c r="F108" i="20"/>
  <c r="F94" i="20"/>
  <c r="F85" i="20"/>
  <c r="F112" i="20"/>
  <c r="F113" i="20"/>
  <c r="F157" i="20"/>
  <c r="F234" i="20"/>
  <c r="F307" i="20"/>
  <c r="F311" i="20"/>
  <c r="F315" i="20"/>
  <c r="F309" i="20"/>
  <c r="F47" i="20"/>
  <c r="F76" i="20"/>
  <c r="F42" i="20"/>
  <c r="F227" i="20"/>
  <c r="F317" i="20"/>
  <c r="F166" i="20"/>
  <c r="F313" i="20"/>
  <c r="F44" i="20"/>
  <c r="F46" i="20"/>
  <c r="F330" i="20"/>
  <c r="F308" i="20"/>
  <c r="F98" i="20"/>
  <c r="F140" i="20"/>
  <c r="F310" i="20"/>
  <c r="F165" i="20"/>
  <c r="F103" i="20"/>
  <c r="F100" i="20"/>
  <c r="F148" i="20"/>
  <c r="F184" i="20"/>
  <c r="F233" i="20"/>
  <c r="F329" i="20"/>
  <c r="F327" i="20"/>
  <c r="F82" i="20"/>
  <c r="F66" i="20"/>
  <c r="F68" i="20"/>
  <c r="F142" i="20"/>
  <c r="F80" i="20"/>
  <c r="F162" i="20"/>
  <c r="F173" i="20"/>
  <c r="F116" i="20"/>
  <c r="F138" i="20"/>
  <c r="F167" i="20"/>
  <c r="F19" i="20"/>
  <c r="F143" i="20"/>
  <c r="F319" i="20"/>
  <c r="F305" i="20"/>
  <c r="F331" i="20"/>
  <c r="F33" i="20"/>
  <c r="F32" i="20"/>
  <c r="F48" i="20"/>
  <c r="F74" i="20"/>
  <c r="F17" i="20"/>
  <c r="F88" i="20"/>
  <c r="F75" i="20"/>
  <c r="F229" i="20"/>
  <c r="F99" i="20"/>
  <c r="F86" i="20"/>
  <c r="F92" i="20"/>
  <c r="F84" i="20"/>
  <c r="F147" i="20"/>
  <c r="F303" i="20"/>
  <c r="F321" i="20"/>
  <c r="F333" i="20"/>
  <c r="F306" i="20"/>
  <c r="F322" i="20"/>
  <c r="F37" i="20"/>
  <c r="F72" i="20"/>
  <c r="F18" i="20"/>
  <c r="F106" i="20"/>
  <c r="F23" i="20"/>
  <c r="F26" i="20"/>
  <c r="F169" i="20"/>
  <c r="F54" i="20"/>
  <c r="F83" i="20"/>
  <c r="F69" i="20"/>
  <c r="F141" i="20"/>
  <c r="F67" i="20"/>
  <c r="F145" i="20"/>
  <c r="F228" i="20"/>
  <c r="F320" i="20"/>
  <c r="F328" i="20"/>
  <c r="F326" i="20"/>
  <c r="F41" i="20"/>
  <c r="F35" i="20"/>
  <c r="F159" i="20"/>
  <c r="F304" i="20"/>
  <c r="F144" i="20"/>
  <c r="F109" i="20"/>
  <c r="F161" i="20"/>
  <c r="F111" i="20"/>
  <c r="F104" i="20"/>
  <c r="F87" i="20"/>
  <c r="F81" i="20"/>
  <c r="F91" i="20"/>
  <c r="F73" i="20"/>
  <c r="F156" i="20"/>
  <c r="F182" i="20"/>
  <c r="F230" i="20"/>
  <c r="F232" i="20"/>
  <c r="F325" i="20"/>
  <c r="F314" i="20"/>
  <c r="F45" i="20"/>
  <c r="F39" i="20"/>
  <c r="F70" i="20"/>
  <c r="F316" i="20"/>
  <c r="F34" i="20"/>
  <c r="F130" i="20"/>
  <c r="F132" i="20"/>
  <c r="F131" i="20"/>
  <c r="F129" i="20"/>
  <c r="F127" i="20"/>
  <c r="F14" i="20"/>
  <c r="F174" i="20"/>
  <c r="F51" i="20"/>
  <c r="F93" i="20"/>
  <c r="F177" i="20"/>
  <c r="F59" i="20"/>
  <c r="F218" i="20"/>
  <c r="F55" i="20"/>
  <c r="F196" i="20"/>
  <c r="F199" i="20"/>
  <c r="F135" i="20"/>
  <c r="L135" i="20" s="1"/>
  <c r="F214" i="20"/>
  <c r="F202" i="20"/>
  <c r="F21" i="20"/>
  <c r="F28" i="20"/>
  <c r="F13" i="20"/>
  <c r="F12" i="20"/>
  <c r="F170" i="20"/>
  <c r="F175" i="20"/>
  <c r="F25" i="20"/>
  <c r="F126" i="20"/>
  <c r="F78" i="20"/>
  <c r="F71" i="20"/>
  <c r="F150" i="20"/>
  <c r="F63" i="20"/>
  <c r="F201" i="20"/>
  <c r="F225" i="20"/>
  <c r="F200" i="20"/>
  <c r="F203" i="20"/>
  <c r="F22" i="20"/>
  <c r="F15" i="20"/>
  <c r="F31" i="20"/>
  <c r="F52" i="20"/>
  <c r="F89" i="20"/>
  <c r="F95" i="20"/>
  <c r="F121" i="20"/>
  <c r="F133" i="20"/>
  <c r="F153" i="20"/>
  <c r="F222" i="20"/>
  <c r="F58" i="20"/>
  <c r="F204" i="20"/>
  <c r="F61" i="20"/>
  <c r="F207" i="20"/>
  <c r="F137" i="20"/>
  <c r="F198" i="20"/>
  <c r="F20" i="20"/>
  <c r="F97" i="20"/>
  <c r="F171" i="20"/>
  <c r="F164" i="20"/>
  <c r="F27" i="20"/>
  <c r="F114" i="20"/>
  <c r="F117" i="20"/>
  <c r="F180" i="20"/>
  <c r="F179" i="20"/>
  <c r="F154" i="20"/>
  <c r="F189" i="20"/>
  <c r="F205" i="20"/>
  <c r="F208" i="20"/>
  <c r="F215" i="20"/>
  <c r="F216" i="20"/>
  <c r="F211" i="20"/>
  <c r="F57" i="20"/>
  <c r="F186" i="20"/>
  <c r="F206" i="20"/>
  <c r="F30" i="20"/>
  <c r="F120" i="20"/>
  <c r="F125" i="20"/>
  <c r="F178" i="20"/>
  <c r="F181" i="20"/>
  <c r="F226" i="20"/>
  <c r="F62" i="20"/>
  <c r="F212" i="20"/>
  <c r="F219" i="20"/>
  <c r="F220" i="20"/>
  <c r="F210" i="20"/>
  <c r="F24" i="20"/>
  <c r="F118" i="20"/>
  <c r="F134" i="20"/>
  <c r="F124" i="20"/>
  <c r="F176" i="20"/>
  <c r="F185" i="20"/>
  <c r="F158" i="20"/>
  <c r="F193" i="20"/>
  <c r="F209" i="20"/>
  <c r="F217" i="20"/>
  <c r="F223" i="20"/>
  <c r="F224" i="20"/>
  <c r="F187" i="20"/>
  <c r="F38" i="20"/>
  <c r="F29" i="20"/>
  <c r="F53" i="20"/>
  <c r="F96" i="20"/>
  <c r="F79" i="20"/>
  <c r="F128" i="20"/>
  <c r="F119" i="20"/>
  <c r="F65" i="20"/>
  <c r="F64" i="20"/>
  <c r="F188" i="20"/>
  <c r="F191" i="20"/>
  <c r="F183" i="20"/>
  <c r="F190" i="20"/>
  <c r="F163" i="20"/>
  <c r="F172" i="20"/>
  <c r="F50" i="20"/>
  <c r="F122" i="20"/>
  <c r="F115" i="20"/>
  <c r="F123" i="20"/>
  <c r="F152" i="20"/>
  <c r="F151" i="20"/>
  <c r="F56" i="20"/>
  <c r="F197" i="20"/>
  <c r="F213" i="20"/>
  <c r="F221" i="20"/>
  <c r="F192" i="20"/>
  <c r="F195" i="20"/>
  <c r="F60" i="20"/>
  <c r="F36" i="20"/>
  <c r="F194" i="20"/>
  <c r="L150" i="20" l="1"/>
  <c r="L149" i="20"/>
  <c r="L148" i="20"/>
  <c r="L147" i="20"/>
  <c r="L146" i="20"/>
  <c r="L145" i="20"/>
  <c r="L144" i="20"/>
  <c r="L141" i="20"/>
  <c r="L140" i="20"/>
  <c r="L137" i="20"/>
  <c r="L143" i="20"/>
  <c r="L142" i="20"/>
  <c r="L139" i="20"/>
  <c r="L138" i="20"/>
  <c r="L136" i="20"/>
  <c r="N237" i="20"/>
  <c r="T237" i="20" s="1"/>
  <c r="V237" i="20" s="1"/>
  <c r="N316" i="20"/>
  <c r="N314" i="20"/>
  <c r="N35" i="20"/>
  <c r="N313" i="20"/>
  <c r="O170" i="20"/>
  <c r="P18" i="20"/>
  <c r="P17" i="20"/>
  <c r="P11" i="20"/>
  <c r="N329" i="20"/>
  <c r="N127" i="20"/>
  <c r="N317" i="20"/>
  <c r="N151" i="20"/>
  <c r="N173" i="20"/>
  <c r="N77" i="20"/>
  <c r="P7" i="20"/>
  <c r="P5" i="20"/>
  <c r="O165" i="20"/>
  <c r="P20" i="20"/>
  <c r="P19" i="20"/>
  <c r="N31" i="20"/>
  <c r="O298" i="20"/>
  <c r="N332" i="20"/>
  <c r="N163" i="20"/>
  <c r="O175" i="20"/>
  <c r="N232" i="20"/>
  <c r="N16" i="20"/>
  <c r="N46" i="20"/>
  <c r="N54" i="20"/>
  <c r="P9" i="20"/>
  <c r="O103" i="20"/>
  <c r="N47" i="20"/>
  <c r="N95" i="20"/>
  <c r="P22" i="20"/>
  <c r="N319" i="20"/>
  <c r="N325" i="20"/>
  <c r="N174" i="20"/>
  <c r="N169" i="20"/>
  <c r="N18" i="20"/>
  <c r="N217" i="20"/>
  <c r="N103" i="20"/>
  <c r="P21" i="20"/>
  <c r="N307" i="20"/>
  <c r="O167" i="20"/>
  <c r="P23" i="20"/>
  <c r="N85" i="20"/>
  <c r="O299" i="20"/>
  <c r="O249" i="20"/>
  <c r="L333" i="20"/>
  <c r="L65" i="20"/>
  <c r="L130" i="20"/>
  <c r="L151" i="20"/>
  <c r="N116" i="20"/>
  <c r="N117" i="20"/>
  <c r="O300" i="20"/>
  <c r="O296" i="20"/>
  <c r="N17" i="20"/>
  <c r="P4" i="20"/>
  <c r="O248" i="20"/>
  <c r="P248" i="20" s="1"/>
  <c r="O247" i="20"/>
  <c r="P247" i="20" s="1"/>
  <c r="P8" i="20"/>
  <c r="P6" i="20"/>
  <c r="P3" i="20"/>
  <c r="P10" i="20"/>
  <c r="N19" i="20"/>
  <c r="O106" i="20"/>
  <c r="O25" i="20"/>
  <c r="L321" i="20"/>
  <c r="N24" i="20"/>
  <c r="N306" i="20"/>
  <c r="N139" i="20"/>
  <c r="N90" i="20"/>
  <c r="O168" i="20"/>
  <c r="N81" i="20"/>
  <c r="N144" i="20"/>
  <c r="N303" i="20"/>
  <c r="N305" i="20"/>
  <c r="N231" i="20"/>
  <c r="O14" i="20"/>
  <c r="N82" i="20"/>
  <c r="N161" i="20"/>
  <c r="N323" i="20"/>
  <c r="O51" i="20"/>
  <c r="N324" i="20"/>
  <c r="O107" i="20"/>
  <c r="N315" i="20"/>
  <c r="N157" i="20"/>
  <c r="N84" i="20"/>
  <c r="N50" i="20"/>
  <c r="N136" i="20"/>
  <c r="N125" i="20"/>
  <c r="N167" i="20"/>
  <c r="N146" i="20"/>
  <c r="O101" i="20"/>
  <c r="N51" i="20"/>
  <c r="N137" i="20"/>
  <c r="N160" i="20"/>
  <c r="N91" i="20"/>
  <c r="N235" i="20"/>
  <c r="N310" i="20"/>
  <c r="N57" i="20"/>
  <c r="N101" i="20"/>
  <c r="N222" i="20"/>
  <c r="L64" i="20"/>
  <c r="L226" i="20"/>
  <c r="L68" i="20"/>
  <c r="L48" i="20"/>
  <c r="N198" i="20"/>
  <c r="L158" i="20"/>
  <c r="L204" i="20"/>
  <c r="N177" i="20"/>
  <c r="L306" i="20"/>
  <c r="N96" i="20"/>
  <c r="L205" i="20"/>
  <c r="L129" i="20"/>
  <c r="N66" i="20"/>
  <c r="L83" i="20"/>
  <c r="N213" i="20"/>
  <c r="L43" i="20"/>
  <c r="N28" i="20"/>
  <c r="L132" i="20"/>
  <c r="L58" i="20"/>
  <c r="N114" i="20"/>
  <c r="N27" i="20"/>
  <c r="N185" i="20"/>
  <c r="N153" i="20"/>
  <c r="N147" i="20"/>
  <c r="L77" i="20"/>
  <c r="N112" i="20"/>
  <c r="N164" i="20"/>
  <c r="N61" i="20"/>
  <c r="L166" i="20"/>
  <c r="N224" i="20"/>
  <c r="N29" i="20"/>
  <c r="L115" i="20"/>
  <c r="L332" i="20"/>
  <c r="L319" i="20"/>
  <c r="L172" i="20"/>
  <c r="L99" i="20"/>
  <c r="L207" i="20"/>
  <c r="N207" i="20"/>
  <c r="N132" i="20"/>
  <c r="N58" i="20"/>
  <c r="L206" i="20"/>
  <c r="N83" i="20"/>
  <c r="L109" i="20"/>
  <c r="N63" i="20"/>
  <c r="L210" i="20"/>
  <c r="L69" i="20"/>
  <c r="L90" i="20"/>
  <c r="N129" i="20"/>
  <c r="L159" i="20"/>
  <c r="N60" i="20"/>
  <c r="N22" i="20"/>
  <c r="N20" i="20"/>
  <c r="O30" i="20"/>
  <c r="L315" i="20"/>
  <c r="L200" i="20"/>
  <c r="L218" i="20"/>
  <c r="N53" i="20"/>
  <c r="N333" i="20"/>
  <c r="L80" i="20"/>
  <c r="L314" i="20"/>
  <c r="O176" i="20"/>
  <c r="O171" i="20"/>
  <c r="N36" i="20"/>
  <c r="N189" i="20"/>
  <c r="N71" i="20"/>
  <c r="N12" i="20"/>
  <c r="T12" i="20" s="1"/>
  <c r="O52" i="20"/>
  <c r="O12" i="20"/>
  <c r="O302" i="20"/>
  <c r="O108" i="20"/>
  <c r="O301" i="20"/>
  <c r="O97" i="20"/>
  <c r="O15" i="20"/>
  <c r="O297" i="20"/>
  <c r="O295" i="20"/>
  <c r="N43" i="20"/>
  <c r="L173" i="20"/>
  <c r="L234" i="20"/>
  <c r="N100" i="20"/>
  <c r="N109" i="20"/>
  <c r="N124" i="20"/>
  <c r="L214" i="20"/>
  <c r="L74" i="20"/>
  <c r="N186" i="20"/>
  <c r="L219" i="20"/>
  <c r="L307" i="20"/>
  <c r="N184" i="20"/>
  <c r="N142" i="20"/>
  <c r="N170" i="20"/>
  <c r="N220" i="20"/>
  <c r="L153" i="20"/>
  <c r="N166" i="20"/>
  <c r="L216" i="20"/>
  <c r="L26" i="20"/>
  <c r="N122" i="20"/>
  <c r="N219" i="20"/>
  <c r="L162" i="20"/>
  <c r="N108" i="20"/>
  <c r="L201" i="20"/>
  <c r="N92" i="20"/>
  <c r="N69" i="20"/>
  <c r="N14" i="20"/>
  <c r="N74" i="20"/>
  <c r="L62" i="20"/>
  <c r="L323" i="20"/>
  <c r="O100" i="20"/>
  <c r="O53" i="20"/>
  <c r="N233" i="20"/>
  <c r="O98" i="20"/>
  <c r="N176" i="20"/>
  <c r="O109" i="20"/>
  <c r="N322" i="20"/>
  <c r="N143" i="20"/>
  <c r="L105" i="20"/>
  <c r="N311" i="20"/>
  <c r="O110" i="20"/>
  <c r="N141" i="20"/>
  <c r="O181" i="20"/>
  <c r="O157" i="20"/>
  <c r="O149" i="20"/>
  <c r="O141" i="20"/>
  <c r="O133" i="20"/>
  <c r="O125" i="20"/>
  <c r="O117" i="20"/>
  <c r="O93" i="20"/>
  <c r="O85" i="20"/>
  <c r="O77" i="20"/>
  <c r="O69" i="20"/>
  <c r="O186" i="20"/>
  <c r="O178" i="20"/>
  <c r="O154" i="20"/>
  <c r="O146" i="20"/>
  <c r="O138" i="20"/>
  <c r="O130" i="20"/>
  <c r="O122" i="20"/>
  <c r="O114" i="20"/>
  <c r="O90" i="20"/>
  <c r="O82" i="20"/>
  <c r="O74" i="20"/>
  <c r="O66" i="20"/>
  <c r="O185" i="20"/>
  <c r="O177" i="20"/>
  <c r="O161" i="20"/>
  <c r="O153" i="20"/>
  <c r="O145" i="20"/>
  <c r="O137" i="20"/>
  <c r="O129" i="20"/>
  <c r="O121" i="20"/>
  <c r="O113" i="20"/>
  <c r="O89" i="20"/>
  <c r="O81" i="20"/>
  <c r="O73" i="20"/>
  <c r="O65" i="20"/>
  <c r="O184" i="20"/>
  <c r="O160" i="20"/>
  <c r="P160" i="20" s="1"/>
  <c r="O152" i="20"/>
  <c r="O144" i="20"/>
  <c r="O136" i="20"/>
  <c r="O128" i="20"/>
  <c r="O120" i="20"/>
  <c r="O112" i="20"/>
  <c r="O88" i="20"/>
  <c r="O80" i="20"/>
  <c r="O72" i="20"/>
  <c r="O64" i="20"/>
  <c r="O79" i="20"/>
  <c r="O94" i="20"/>
  <c r="O151" i="20"/>
  <c r="O134" i="20"/>
  <c r="O116" i="20"/>
  <c r="O182" i="20"/>
  <c r="O147" i="20"/>
  <c r="O127" i="20"/>
  <c r="O115" i="20"/>
  <c r="O95" i="20"/>
  <c r="O78" i="20"/>
  <c r="O75" i="20"/>
  <c r="O150" i="20"/>
  <c r="O132" i="20"/>
  <c r="O183" i="20"/>
  <c r="O131" i="20"/>
  <c r="O76" i="20"/>
  <c r="O148" i="20"/>
  <c r="O92" i="20"/>
  <c r="O158" i="20"/>
  <c r="O124" i="20"/>
  <c r="O180" i="20"/>
  <c r="O179" i="20"/>
  <c r="O118" i="20"/>
  <c r="O135" i="20"/>
  <c r="P135" i="20" s="1"/>
  <c r="O68" i="20"/>
  <c r="O156" i="20"/>
  <c r="O155" i="20"/>
  <c r="O143" i="20"/>
  <c r="O84" i="20"/>
  <c r="O67" i="20"/>
  <c r="O126" i="20"/>
  <c r="O87" i="20"/>
  <c r="P87" i="20" s="1"/>
  <c r="O119" i="20"/>
  <c r="O142" i="20"/>
  <c r="O159" i="20"/>
  <c r="O91" i="20"/>
  <c r="O123" i="20"/>
  <c r="O86" i="20"/>
  <c r="O83" i="20"/>
  <c r="O70" i="20"/>
  <c r="O140" i="20"/>
  <c r="O139" i="20"/>
  <c r="O71" i="20"/>
  <c r="L232" i="20"/>
  <c r="N181" i="20"/>
  <c r="L331" i="20"/>
  <c r="L126" i="20"/>
  <c r="L72" i="20"/>
  <c r="L155" i="20"/>
  <c r="L125" i="20"/>
  <c r="N133" i="20"/>
  <c r="L114" i="20"/>
  <c r="L170" i="20"/>
  <c r="L203" i="20"/>
  <c r="L309" i="20"/>
  <c r="N40" i="20"/>
  <c r="L183" i="20"/>
  <c r="L168" i="20"/>
  <c r="L76" i="20"/>
  <c r="N44" i="20"/>
  <c r="N205" i="20"/>
  <c r="N89" i="20"/>
  <c r="L188" i="20"/>
  <c r="L12" i="20"/>
  <c r="N23" i="20"/>
  <c r="L51" i="20"/>
  <c r="L296" i="20"/>
  <c r="O164" i="20"/>
  <c r="L329" i="20"/>
  <c r="L124" i="20"/>
  <c r="L181" i="20"/>
  <c r="N126" i="20"/>
  <c r="L197" i="20"/>
  <c r="L163" i="20"/>
  <c r="L86" i="20"/>
  <c r="L121" i="20"/>
  <c r="N113" i="20"/>
  <c r="L70" i="20"/>
  <c r="N78" i="20"/>
  <c r="L127" i="20"/>
  <c r="N206" i="20"/>
  <c r="N191" i="20"/>
  <c r="L53" i="20"/>
  <c r="N195" i="20"/>
  <c r="N156" i="20"/>
  <c r="N104" i="20"/>
  <c r="L45" i="20"/>
  <c r="L59" i="20"/>
  <c r="L118" i="20"/>
  <c r="L300" i="20"/>
  <c r="L297" i="20"/>
  <c r="N227" i="20"/>
  <c r="L40" i="20"/>
  <c r="O31" i="20"/>
  <c r="O13" i="20"/>
  <c r="P13" i="20" s="1"/>
  <c r="O166" i="20"/>
  <c r="L327" i="20"/>
  <c r="L325" i="20"/>
  <c r="L89" i="20"/>
  <c r="N107" i="20"/>
  <c r="N215" i="20"/>
  <c r="N102" i="20"/>
  <c r="N87" i="20"/>
  <c r="L79" i="20"/>
  <c r="N41" i="20"/>
  <c r="L180" i="20"/>
  <c r="L113" i="20"/>
  <c r="L54" i="20"/>
  <c r="N162" i="20"/>
  <c r="L75" i="20"/>
  <c r="L169" i="20"/>
  <c r="N204" i="20"/>
  <c r="L177" i="20"/>
  <c r="N134" i="20"/>
  <c r="L167" i="20"/>
  <c r="L229" i="20"/>
  <c r="N39" i="20"/>
  <c r="L15" i="20"/>
  <c r="L301" i="20"/>
  <c r="L298" i="20"/>
  <c r="O45" i="20"/>
  <c r="O37" i="20"/>
  <c r="O42" i="20"/>
  <c r="O34" i="20"/>
  <c r="P34" i="20" s="1"/>
  <c r="O49" i="20"/>
  <c r="O41" i="20"/>
  <c r="O33" i="20"/>
  <c r="P33" i="20" s="1"/>
  <c r="O48" i="20"/>
  <c r="O40" i="20"/>
  <c r="O32" i="20"/>
  <c r="P32" i="20" s="1"/>
  <c r="O46" i="20"/>
  <c r="O44" i="20"/>
  <c r="O39" i="20"/>
  <c r="O43" i="20"/>
  <c r="O38" i="20"/>
  <c r="O35" i="20"/>
  <c r="P35" i="20" s="1"/>
  <c r="O36" i="20"/>
  <c r="P36" i="20" s="1"/>
  <c r="O47" i="20"/>
  <c r="L185" i="20"/>
  <c r="L52" i="20"/>
  <c r="O28" i="20"/>
  <c r="O102" i="20"/>
  <c r="L171" i="20"/>
  <c r="L223" i="20"/>
  <c r="L212" i="20"/>
  <c r="N80" i="20"/>
  <c r="L84" i="20"/>
  <c r="L184" i="20"/>
  <c r="L41" i="20"/>
  <c r="N226" i="20"/>
  <c r="L63" i="20"/>
  <c r="N62" i="20"/>
  <c r="L182" i="20"/>
  <c r="N75" i="20"/>
  <c r="N183" i="20"/>
  <c r="L85" i="20"/>
  <c r="N42" i="20"/>
  <c r="N187" i="20"/>
  <c r="N37" i="20"/>
  <c r="N76" i="20"/>
  <c r="L81" i="20"/>
  <c r="N38" i="20"/>
  <c r="L103" i="20"/>
  <c r="N229" i="20"/>
  <c r="L88" i="20"/>
  <c r="L299" i="20"/>
  <c r="L191" i="20"/>
  <c r="L119" i="20"/>
  <c r="N131" i="20"/>
  <c r="L213" i="20"/>
  <c r="N93" i="20"/>
  <c r="L46" i="20"/>
  <c r="L67" i="20"/>
  <c r="L39" i="20"/>
  <c r="N223" i="20"/>
  <c r="L106" i="20"/>
  <c r="N218" i="20"/>
  <c r="L61" i="20"/>
  <c r="N158" i="20"/>
  <c r="L96" i="20"/>
  <c r="L161" i="20"/>
  <c r="N13" i="20"/>
  <c r="O111" i="20"/>
  <c r="N312" i="20"/>
  <c r="N318" i="20"/>
  <c r="L317" i="20"/>
  <c r="N328" i="20"/>
  <c r="L313" i="20"/>
  <c r="L316" i="20"/>
  <c r="N171" i="20"/>
  <c r="N159" i="20"/>
  <c r="L110" i="20"/>
  <c r="N200" i="20"/>
  <c r="N130" i="20"/>
  <c r="L165" i="20"/>
  <c r="L305" i="20"/>
  <c r="L91" i="20"/>
  <c r="N190" i="20"/>
  <c r="L222" i="20"/>
  <c r="L93" i="20"/>
  <c r="N25" i="20"/>
  <c r="L154" i="20"/>
  <c r="L117" i="20"/>
  <c r="N168" i="20"/>
  <c r="L44" i="20"/>
  <c r="N32" i="20"/>
  <c r="L208" i="20"/>
  <c r="N179" i="20"/>
  <c r="O174" i="20"/>
  <c r="L102" i="20"/>
  <c r="O333" i="20"/>
  <c r="O325" i="20"/>
  <c r="O317" i="20"/>
  <c r="O309" i="20"/>
  <c r="O330" i="20"/>
  <c r="O322" i="20"/>
  <c r="O314" i="20"/>
  <c r="O306" i="20"/>
  <c r="O329" i="20"/>
  <c r="O321" i="20"/>
  <c r="O313" i="20"/>
  <c r="O305" i="20"/>
  <c r="O328" i="20"/>
  <c r="O320" i="20"/>
  <c r="O312" i="20"/>
  <c r="O304" i="20"/>
  <c r="P304" i="20" s="1"/>
  <c r="O326" i="20"/>
  <c r="O318" i="20"/>
  <c r="P318" i="20" s="1"/>
  <c r="O310" i="20"/>
  <c r="O332" i="20"/>
  <c r="O331" i="20"/>
  <c r="O303" i="20"/>
  <c r="P303" i="20" s="1"/>
  <c r="O319" i="20"/>
  <c r="O327" i="20"/>
  <c r="O324" i="20"/>
  <c r="O323" i="20"/>
  <c r="O308" i="20"/>
  <c r="P308" i="20" s="1"/>
  <c r="O316" i="20"/>
  <c r="O311" i="20"/>
  <c r="O307" i="20"/>
  <c r="O315" i="20"/>
  <c r="N119" i="20"/>
  <c r="N55" i="20"/>
  <c r="L190" i="20"/>
  <c r="L194" i="20"/>
  <c r="N214" i="20"/>
  <c r="N148" i="20"/>
  <c r="L233" i="20"/>
  <c r="L230" i="20"/>
  <c r="L199" i="20"/>
  <c r="N209" i="20"/>
  <c r="L101" i="20"/>
  <c r="N70" i="20"/>
  <c r="N105" i="20"/>
  <c r="L108" i="20"/>
  <c r="N201" i="20"/>
  <c r="N106" i="20"/>
  <c r="N154" i="20"/>
  <c r="L156" i="20"/>
  <c r="L104" i="20"/>
  <c r="L179" i="20"/>
  <c r="N34" i="20"/>
  <c r="N188" i="20"/>
  <c r="L73" i="20"/>
  <c r="L295" i="20"/>
  <c r="N225" i="20"/>
  <c r="L217" i="20"/>
  <c r="N128" i="20"/>
  <c r="L120" i="20"/>
  <c r="O96" i="20"/>
  <c r="N330" i="20"/>
  <c r="N327" i="20"/>
  <c r="L94" i="20"/>
  <c r="N230" i="20"/>
  <c r="L189" i="20"/>
  <c r="L164" i="20"/>
  <c r="L112" i="20"/>
  <c r="L98" i="20"/>
  <c r="N52" i="20"/>
  <c r="L37" i="20"/>
  <c r="N210" i="20"/>
  <c r="L123" i="20"/>
  <c r="L29" i="20"/>
  <c r="N202" i="20"/>
  <c r="N123" i="20"/>
  <c r="N331" i="20"/>
  <c r="L133" i="20"/>
  <c r="N140" i="20"/>
  <c r="N228" i="20"/>
  <c r="O221" i="20"/>
  <c r="O226" i="20"/>
  <c r="O218" i="20"/>
  <c r="O225" i="20"/>
  <c r="P225" i="20" s="1"/>
  <c r="O217" i="20"/>
  <c r="O224" i="20"/>
  <c r="P224" i="20" s="1"/>
  <c r="O216" i="20"/>
  <c r="O223" i="20"/>
  <c r="O219" i="20"/>
  <c r="O220" i="20"/>
  <c r="O222" i="20"/>
  <c r="O227" i="20"/>
  <c r="P227" i="20" s="1"/>
  <c r="L324" i="20"/>
  <c r="L178" i="20"/>
  <c r="N182" i="20"/>
  <c r="N304" i="20"/>
  <c r="L330" i="20"/>
  <c r="L55" i="20"/>
  <c r="L202" i="20"/>
  <c r="L82" i="20"/>
  <c r="O293" i="20"/>
  <c r="O285" i="20"/>
  <c r="O277" i="20"/>
  <c r="O269" i="20"/>
  <c r="O261" i="20"/>
  <c r="P261" i="20" s="1"/>
  <c r="O253" i="20"/>
  <c r="O245" i="20"/>
  <c r="O290" i="20"/>
  <c r="O282" i="20"/>
  <c r="O274" i="20"/>
  <c r="O266" i="20"/>
  <c r="O258" i="20"/>
  <c r="O250" i="20"/>
  <c r="O242" i="20"/>
  <c r="P242" i="20" s="1"/>
  <c r="O289" i="20"/>
  <c r="O281" i="20"/>
  <c r="O273" i="20"/>
  <c r="O265" i="20"/>
  <c r="O257" i="20"/>
  <c r="O241" i="20"/>
  <c r="P241" i="20" s="1"/>
  <c r="O288" i="20"/>
  <c r="O280" i="20"/>
  <c r="O272" i="20"/>
  <c r="O264" i="20"/>
  <c r="O256" i="20"/>
  <c r="O240" i="20"/>
  <c r="P240" i="20" s="1"/>
  <c r="O294" i="20"/>
  <c r="O278" i="20"/>
  <c r="O268" i="20"/>
  <c r="O276" i="20"/>
  <c r="O254" i="20"/>
  <c r="O238" i="20"/>
  <c r="P238" i="20" s="1"/>
  <c r="O275" i="20"/>
  <c r="O252" i="20"/>
  <c r="O271" i="20"/>
  <c r="O251" i="20"/>
  <c r="O270" i="20"/>
  <c r="O284" i="20"/>
  <c r="O244" i="20"/>
  <c r="P244" i="20" s="1"/>
  <c r="O267" i="20"/>
  <c r="O262" i="20"/>
  <c r="O259" i="20"/>
  <c r="O291" i="20"/>
  <c r="O283" i="20"/>
  <c r="O263" i="20"/>
  <c r="O239" i="20"/>
  <c r="P239" i="20" s="1"/>
  <c r="O255" i="20"/>
  <c r="O279" i="20"/>
  <c r="O243" i="20"/>
  <c r="O260" i="20"/>
  <c r="P260" i="20" s="1"/>
  <c r="O292" i="20"/>
  <c r="O287" i="20"/>
  <c r="O286" i="20"/>
  <c r="O246" i="20"/>
  <c r="N118" i="20"/>
  <c r="L186" i="20"/>
  <c r="L66" i="20"/>
  <c r="N99" i="20"/>
  <c r="L50" i="20"/>
  <c r="L310" i="20"/>
  <c r="L107" i="20"/>
  <c r="L320" i="20"/>
  <c r="O99" i="20"/>
  <c r="L31" i="20"/>
  <c r="L27" i="20"/>
  <c r="O50" i="20"/>
  <c r="O26" i="20"/>
  <c r="O173" i="20"/>
  <c r="L116" i="20"/>
  <c r="L157" i="20"/>
  <c r="N172" i="20"/>
  <c r="N110" i="20"/>
  <c r="L192" i="20"/>
  <c r="L221" i="20"/>
  <c r="N49" i="20"/>
  <c r="N79" i="20"/>
  <c r="N86" i="20"/>
  <c r="N199" i="20"/>
  <c r="N180" i="20"/>
  <c r="L176" i="20"/>
  <c r="L30" i="20"/>
  <c r="N33" i="20"/>
  <c r="N68" i="20"/>
  <c r="N48" i="20"/>
  <c r="L92" i="20"/>
  <c r="L42" i="20"/>
  <c r="L187" i="20"/>
  <c r="L175" i="20"/>
  <c r="N67" i="20"/>
  <c r="L60" i="20"/>
  <c r="N308" i="20"/>
  <c r="N208" i="20"/>
  <c r="L231" i="20"/>
  <c r="N73" i="20"/>
  <c r="L14" i="20"/>
  <c r="N15" i="20"/>
  <c r="O27" i="20"/>
  <c r="N65" i="20"/>
  <c r="N94" i="20"/>
  <c r="L195" i="20"/>
  <c r="O213" i="20"/>
  <c r="O205" i="20"/>
  <c r="O197" i="20"/>
  <c r="O189" i="20"/>
  <c r="O210" i="20"/>
  <c r="O202" i="20"/>
  <c r="O194" i="20"/>
  <c r="O209" i="20"/>
  <c r="O201" i="20"/>
  <c r="O193" i="20"/>
  <c r="O208" i="20"/>
  <c r="O200" i="20"/>
  <c r="O192" i="20"/>
  <c r="O206" i="20"/>
  <c r="O188" i="20"/>
  <c r="O199" i="20"/>
  <c r="O187" i="20"/>
  <c r="O204" i="20"/>
  <c r="O203" i="20"/>
  <c r="O196" i="20"/>
  <c r="O191" i="20"/>
  <c r="O190" i="20"/>
  <c r="O195" i="20"/>
  <c r="O215" i="20"/>
  <c r="O214" i="20"/>
  <c r="O212" i="20"/>
  <c r="O211" i="20"/>
  <c r="O198" i="20"/>
  <c r="O207" i="20"/>
  <c r="N115" i="20"/>
  <c r="L193" i="20"/>
  <c r="N138" i="20"/>
  <c r="N64" i="20"/>
  <c r="N175" i="20"/>
  <c r="O104" i="20"/>
  <c r="O61" i="20"/>
  <c r="O58" i="20"/>
  <c r="O57" i="20"/>
  <c r="O56" i="20"/>
  <c r="O62" i="20"/>
  <c r="O60" i="20"/>
  <c r="O59" i="20"/>
  <c r="O55" i="20"/>
  <c r="O63" i="20"/>
  <c r="N321" i="20"/>
  <c r="L328" i="20"/>
  <c r="L174" i="20"/>
  <c r="L211" i="20"/>
  <c r="O29" i="20"/>
  <c r="N212" i="20"/>
  <c r="N165" i="20"/>
  <c r="L49" i="20"/>
  <c r="N121" i="20"/>
  <c r="L209" i="20"/>
  <c r="O172" i="20"/>
  <c r="O237" i="20"/>
  <c r="O229" i="20"/>
  <c r="O234" i="20"/>
  <c r="O233" i="20"/>
  <c r="O232" i="20"/>
  <c r="O235" i="20"/>
  <c r="P235" i="20" s="1"/>
  <c r="O236" i="20"/>
  <c r="P236" i="20" s="1"/>
  <c r="O228" i="20"/>
  <c r="O231" i="20"/>
  <c r="O230" i="20"/>
  <c r="O162" i="20"/>
  <c r="O105" i="20"/>
  <c r="L312" i="20"/>
  <c r="N326" i="20"/>
  <c r="N26" i="20"/>
  <c r="N197" i="20"/>
  <c r="L311" i="20"/>
  <c r="L57" i="20"/>
  <c r="N221" i="20"/>
  <c r="N196" i="20"/>
  <c r="N192" i="20"/>
  <c r="N234" i="20"/>
  <c r="L78" i="20"/>
  <c r="N135" i="20"/>
  <c r="N120" i="20"/>
  <c r="N149" i="20"/>
  <c r="N203" i="20"/>
  <c r="N309" i="20"/>
  <c r="L198" i="20"/>
  <c r="N97" i="20"/>
  <c r="L220" i="20"/>
  <c r="N193" i="20"/>
  <c r="L131" i="20"/>
  <c r="L47" i="20"/>
  <c r="N98" i="20"/>
  <c r="L134" i="20"/>
  <c r="N216" i="20"/>
  <c r="L228" i="20"/>
  <c r="N152" i="20"/>
  <c r="N236" i="20"/>
  <c r="L326" i="20"/>
  <c r="L95" i="20"/>
  <c r="L28" i="20"/>
  <c r="L122" i="20"/>
  <c r="L56" i="20"/>
  <c r="N155" i="20"/>
  <c r="N56" i="20"/>
  <c r="O54" i="20"/>
  <c r="O169" i="20"/>
  <c r="O163" i="20"/>
  <c r="O16" i="20"/>
  <c r="P16" i="20" s="1"/>
  <c r="L322" i="20"/>
  <c r="N320" i="20"/>
  <c r="N145" i="20"/>
  <c r="N194" i="20"/>
  <c r="L215" i="20"/>
  <c r="L237" i="20"/>
  <c r="L196" i="20"/>
  <c r="N72" i="20"/>
  <c r="L100" i="20"/>
  <c r="L128" i="20"/>
  <c r="N178" i="20"/>
  <c r="L71" i="20"/>
  <c r="L111" i="20"/>
  <c r="N211" i="20"/>
  <c r="N30" i="20"/>
  <c r="L25" i="20"/>
  <c r="L97" i="20"/>
  <c r="N45" i="20"/>
  <c r="L38" i="20"/>
  <c r="N111" i="20"/>
  <c r="L152" i="20"/>
  <c r="N88" i="20"/>
  <c r="N150" i="20"/>
  <c r="N59" i="20"/>
  <c r="N21" i="20"/>
  <c r="L249" i="20"/>
  <c r="C19" i="21"/>
  <c r="Q335" i="20"/>
  <c r="H26" i="21" s="1"/>
  <c r="H27" i="21" s="1"/>
  <c r="H28" i="21" s="1"/>
  <c r="H29" i="21" s="1"/>
  <c r="H30" i="21" s="1"/>
  <c r="H31" i="21" s="1"/>
  <c r="P150" i="20" l="1"/>
  <c r="P149" i="20"/>
  <c r="P148" i="20"/>
  <c r="P147" i="20"/>
  <c r="P146" i="20"/>
  <c r="P145" i="20"/>
  <c r="P144" i="20"/>
  <c r="P141" i="20"/>
  <c r="P137" i="20"/>
  <c r="P140" i="20"/>
  <c r="P143" i="20"/>
  <c r="P142" i="20"/>
  <c r="P136" i="20"/>
  <c r="P138" i="20"/>
  <c r="P139" i="20"/>
  <c r="D38" i="22"/>
  <c r="P237" i="20"/>
  <c r="H32" i="21"/>
  <c r="S24" i="20"/>
  <c r="T24" i="20"/>
  <c r="V24" i="20" s="1"/>
  <c r="D20" i="14"/>
  <c r="B310" i="16"/>
  <c r="B309" i="16"/>
  <c r="B108" i="16"/>
  <c r="B107" i="16"/>
  <c r="B106" i="16"/>
  <c r="B105" i="16"/>
  <c r="B103" i="16"/>
  <c r="B102" i="16"/>
  <c r="B101" i="16"/>
  <c r="B100" i="16"/>
  <c r="B99" i="16"/>
  <c r="B98" i="16"/>
  <c r="B39" i="16"/>
  <c r="B38" i="16"/>
  <c r="B37" i="16"/>
  <c r="B36" i="16"/>
  <c r="B35" i="16"/>
  <c r="B34" i="16"/>
  <c r="B33" i="16"/>
  <c r="D32" i="16"/>
  <c r="C32" i="16"/>
  <c r="D23" i="16"/>
  <c r="C23" i="16"/>
  <c r="D17" i="16"/>
  <c r="D7" i="16"/>
  <c r="C7" i="16"/>
  <c r="B26" i="16"/>
  <c r="B27" i="16"/>
  <c r="B28" i="16"/>
  <c r="B29" i="16"/>
  <c r="B30" i="16"/>
  <c r="B31" i="16"/>
  <c r="B25" i="16"/>
  <c r="B22" i="16"/>
  <c r="B21" i="16"/>
  <c r="B20" i="16"/>
  <c r="B19" i="16"/>
  <c r="B18" i="16"/>
  <c r="B9" i="16"/>
  <c r="B10" i="16"/>
  <c r="B11" i="16"/>
  <c r="B12" i="16"/>
  <c r="B13" i="16"/>
  <c r="B14" i="16"/>
  <c r="B15" i="16"/>
  <c r="B16" i="16"/>
  <c r="B8" i="16"/>
  <c r="B21" i="14"/>
  <c r="B20" i="14"/>
  <c r="B19" i="14"/>
  <c r="H33" i="21" l="1"/>
  <c r="C21" i="14"/>
  <c r="E21" i="14" s="1"/>
  <c r="C20" i="12"/>
  <c r="D21" i="14"/>
  <c r="D19" i="14"/>
  <c r="C19" i="14"/>
  <c r="C20" i="14"/>
  <c r="E20" i="14" s="1"/>
  <c r="E96" i="14" l="1"/>
  <c r="D119" i="25" s="1"/>
  <c r="E95" i="14"/>
  <c r="D118" i="25" s="1"/>
  <c r="E94" i="14"/>
  <c r="D117" i="25" s="1"/>
  <c r="E90" i="14"/>
  <c r="D113" i="25" s="1"/>
  <c r="E93" i="14"/>
  <c r="D116" i="25" s="1"/>
  <c r="E92" i="14"/>
  <c r="D115" i="25" s="1"/>
  <c r="E91" i="14"/>
  <c r="D114" i="25" s="1"/>
  <c r="E97" i="14"/>
  <c r="D120" i="25" s="1"/>
  <c r="E19" i="14"/>
  <c r="E72" i="12"/>
  <c r="E64" i="12"/>
  <c r="E71" i="12"/>
  <c r="E63" i="12"/>
  <c r="E20" i="12"/>
  <c r="E70" i="12"/>
  <c r="E69" i="12"/>
  <c r="E68" i="12"/>
  <c r="E67" i="12"/>
  <c r="E74" i="12"/>
  <c r="E73" i="12"/>
  <c r="E65" i="12"/>
  <c r="E66" i="12"/>
  <c r="H34" i="21"/>
  <c r="B25" i="14"/>
  <c r="D48" i="25"/>
  <c r="B26" i="14"/>
  <c r="D49" i="25"/>
  <c r="B27" i="14"/>
  <c r="D50" i="25"/>
  <c r="B28" i="14"/>
  <c r="D51" i="25"/>
  <c r="B30" i="14"/>
  <c r="D53" i="25"/>
  <c r="T290" i="20"/>
  <c r="V290" i="20" s="1"/>
  <c r="T291" i="20"/>
  <c r="V291" i="20" s="1"/>
  <c r="T292" i="20"/>
  <c r="V292" i="20" s="1"/>
  <c r="T293" i="20"/>
  <c r="V293" i="20" s="1"/>
  <c r="T294" i="20"/>
  <c r="V294" i="20" s="1"/>
  <c r="T295" i="20"/>
  <c r="B16" i="14"/>
  <c r="A107" i="14"/>
  <c r="A106" i="14"/>
  <c r="A105" i="14"/>
  <c r="A104" i="14"/>
  <c r="A103" i="14"/>
  <c r="A102" i="14"/>
  <c r="A101" i="14"/>
  <c r="T301" i="20"/>
  <c r="V301" i="20" s="1"/>
  <c r="T297" i="20"/>
  <c r="T289" i="20"/>
  <c r="V289" i="20" s="1"/>
  <c r="T287" i="20"/>
  <c r="V287" i="20" s="1"/>
  <c r="T283" i="20"/>
  <c r="V283" i="20" s="1"/>
  <c r="T279" i="20"/>
  <c r="V279" i="20" s="1"/>
  <c r="T277" i="20"/>
  <c r="V277" i="20" s="1"/>
  <c r="T275" i="20"/>
  <c r="V275" i="20" s="1"/>
  <c r="T273" i="20"/>
  <c r="T271" i="20"/>
  <c r="V271" i="20" s="1"/>
  <c r="T269" i="20"/>
  <c r="V269" i="20" s="1"/>
  <c r="T267" i="20"/>
  <c r="T265" i="20"/>
  <c r="V265" i="20" s="1"/>
  <c r="T263" i="20"/>
  <c r="V263" i="20" s="1"/>
  <c r="T261" i="20"/>
  <c r="V261" i="20" s="1"/>
  <c r="T259" i="20"/>
  <c r="V259" i="20" s="1"/>
  <c r="T258" i="20"/>
  <c r="V258" i="20" s="1"/>
  <c r="T256" i="20"/>
  <c r="T254" i="20"/>
  <c r="T250" i="20"/>
  <c r="T246" i="20"/>
  <c r="V246" i="20" s="1"/>
  <c r="T242" i="20"/>
  <c r="T238" i="20"/>
  <c r="B97" i="14"/>
  <c r="B96" i="14"/>
  <c r="B95" i="14"/>
  <c r="B94" i="14"/>
  <c r="B93" i="14"/>
  <c r="B92" i="14"/>
  <c r="B90" i="14"/>
  <c r="D111" i="25"/>
  <c r="B88" i="14"/>
  <c r="B87" i="14"/>
  <c r="B86" i="14"/>
  <c r="B85" i="14"/>
  <c r="B83" i="14"/>
  <c r="B82" i="14"/>
  <c r="B81" i="14"/>
  <c r="B80" i="14"/>
  <c r="B79" i="14"/>
  <c r="B78" i="14"/>
  <c r="B77" i="14"/>
  <c r="B76" i="14"/>
  <c r="D98" i="25"/>
  <c r="B75" i="14"/>
  <c r="D97" i="25"/>
  <c r="B74" i="14"/>
  <c r="B72" i="14"/>
  <c r="D94" i="25"/>
  <c r="B71" i="14"/>
  <c r="D93" i="25"/>
  <c r="B70" i="14"/>
  <c r="D92" i="25"/>
  <c r="B69" i="14"/>
  <c r="D91" i="25"/>
  <c r="B68" i="14"/>
  <c r="D89" i="25"/>
  <c r="B66" i="14"/>
  <c r="D88" i="25"/>
  <c r="B65" i="14"/>
  <c r="D87" i="25"/>
  <c r="B64" i="14"/>
  <c r="D86" i="25"/>
  <c r="B63" i="14"/>
  <c r="D85" i="25"/>
  <c r="B62" i="14"/>
  <c r="B61" i="14"/>
  <c r="D83" i="25"/>
  <c r="B60" i="14"/>
  <c r="D82" i="25"/>
  <c r="B59" i="14"/>
  <c r="D81" i="25"/>
  <c r="B58" i="14"/>
  <c r="D80" i="25"/>
  <c r="B57" i="14"/>
  <c r="D79" i="25"/>
  <c r="B56" i="14"/>
  <c r="D78" i="25"/>
  <c r="B55" i="14"/>
  <c r="D77" i="25"/>
  <c r="B54" i="14"/>
  <c r="D74" i="25"/>
  <c r="B51" i="14"/>
  <c r="D73" i="25"/>
  <c r="B50" i="14"/>
  <c r="D72" i="25"/>
  <c r="B49" i="14"/>
  <c r="D71" i="25"/>
  <c r="B48" i="14"/>
  <c r="D70" i="25"/>
  <c r="B47" i="14"/>
  <c r="D69" i="25"/>
  <c r="B46" i="14"/>
  <c r="D68" i="25"/>
  <c r="B45" i="14"/>
  <c r="D66" i="25"/>
  <c r="B43" i="14"/>
  <c r="D65" i="25"/>
  <c r="B42" i="14"/>
  <c r="D63" i="25"/>
  <c r="B40" i="14"/>
  <c r="D62" i="25"/>
  <c r="B39" i="14"/>
  <c r="D60" i="25"/>
  <c r="B37" i="14"/>
  <c r="D59" i="25"/>
  <c r="B36" i="14"/>
  <c r="B35" i="14"/>
  <c r="D56" i="25"/>
  <c r="B33" i="14"/>
  <c r="D55" i="25"/>
  <c r="B32" i="14"/>
  <c r="D54" i="25"/>
  <c r="B31" i="14"/>
  <c r="D47" i="25"/>
  <c r="B24" i="14"/>
  <c r="B17" i="14"/>
  <c r="B15" i="14"/>
  <c r="B14" i="14"/>
  <c r="B13" i="14"/>
  <c r="A65" i="13"/>
  <c r="A64" i="13"/>
  <c r="A63" i="13"/>
  <c r="A62" i="13"/>
  <c r="A61" i="13"/>
  <c r="A60" i="13"/>
  <c r="A59" i="13"/>
  <c r="T330" i="20"/>
  <c r="T322" i="20"/>
  <c r="V322" i="20" s="1"/>
  <c r="B55" i="13"/>
  <c r="B345" i="22" s="1"/>
  <c r="B54" i="13"/>
  <c r="B344" i="22" s="1"/>
  <c r="B53" i="13"/>
  <c r="B343" i="22" s="1"/>
  <c r="B52" i="13"/>
  <c r="B342" i="22" s="1"/>
  <c r="B51" i="13"/>
  <c r="B341" i="22" s="1"/>
  <c r="B50" i="13"/>
  <c r="B340" i="22" s="1"/>
  <c r="B48" i="13"/>
  <c r="B338" i="22" s="1"/>
  <c r="B337" i="22"/>
  <c r="B46" i="13"/>
  <c r="B336" i="22" s="1"/>
  <c r="B45" i="13"/>
  <c r="B335" i="22" s="1"/>
  <c r="B44" i="13"/>
  <c r="B334" i="22" s="1"/>
  <c r="B43" i="13"/>
  <c r="B333" i="22" s="1"/>
  <c r="B42" i="13"/>
  <c r="B332" i="22" s="1"/>
  <c r="B41" i="13"/>
  <c r="B331" i="22" s="1"/>
  <c r="B39" i="13"/>
  <c r="B329" i="22" s="1"/>
  <c r="B38" i="13"/>
  <c r="B328" i="22" s="1"/>
  <c r="B37" i="13"/>
  <c r="B327" i="22" s="1"/>
  <c r="B36" i="13"/>
  <c r="B326" i="22" s="1"/>
  <c r="B35" i="13"/>
  <c r="B325" i="22" s="1"/>
  <c r="B33" i="13"/>
  <c r="B323" i="22" s="1"/>
  <c r="B32" i="13"/>
  <c r="B322" i="22" s="1"/>
  <c r="B31" i="13"/>
  <c r="B321" i="22" s="1"/>
  <c r="B30" i="13"/>
  <c r="B320" i="22" s="1"/>
  <c r="B29" i="13"/>
  <c r="B319" i="22" s="1"/>
  <c r="B27" i="13"/>
  <c r="B317" i="22" s="1"/>
  <c r="B26" i="13"/>
  <c r="B316" i="22" s="1"/>
  <c r="B25" i="13"/>
  <c r="B315" i="22" s="1"/>
  <c r="B24" i="13"/>
  <c r="B314" i="22" s="1"/>
  <c r="B23" i="13"/>
  <c r="B313" i="22" s="1"/>
  <c r="B21" i="13"/>
  <c r="B311" i="22" s="1"/>
  <c r="B20" i="13"/>
  <c r="B310" i="22" s="1"/>
  <c r="D18" i="13"/>
  <c r="C18" i="13"/>
  <c r="B18" i="13"/>
  <c r="B16" i="13"/>
  <c r="B15" i="13"/>
  <c r="B14" i="13"/>
  <c r="B13" i="13"/>
  <c r="T61" i="20"/>
  <c r="T191" i="20"/>
  <c r="T211" i="20"/>
  <c r="T214" i="20"/>
  <c r="B24" i="12"/>
  <c r="B247" i="22" s="1"/>
  <c r="B25" i="12"/>
  <c r="B26" i="12"/>
  <c r="B249" i="22" s="1"/>
  <c r="B27" i="12"/>
  <c r="B250" i="22" s="1"/>
  <c r="B28" i="12"/>
  <c r="B251" i="22" s="1"/>
  <c r="B29" i="12"/>
  <c r="B252" i="22" s="1"/>
  <c r="B30" i="12"/>
  <c r="B253" i="22" s="1"/>
  <c r="B31" i="12"/>
  <c r="B254" i="22" s="1"/>
  <c r="D21" i="12"/>
  <c r="C21" i="12"/>
  <c r="B21" i="12"/>
  <c r="D20" i="12"/>
  <c r="B20" i="12"/>
  <c r="D19" i="12"/>
  <c r="C19" i="12"/>
  <c r="B19" i="12"/>
  <c r="D18" i="12"/>
  <c r="C18" i="12"/>
  <c r="B18" i="12"/>
  <c r="D18" i="9"/>
  <c r="C18" i="9"/>
  <c r="E51" i="9" s="1"/>
  <c r="B18" i="9"/>
  <c r="D18" i="10"/>
  <c r="C18" i="10"/>
  <c r="B18" i="10"/>
  <c r="D18" i="11"/>
  <c r="C18" i="11"/>
  <c r="B18" i="11"/>
  <c r="A94" i="12"/>
  <c r="A93" i="12"/>
  <c r="A92" i="12"/>
  <c r="A91" i="12"/>
  <c r="A90" i="12"/>
  <c r="A89" i="12"/>
  <c r="A88" i="12"/>
  <c r="B85" i="12"/>
  <c r="B308" i="22" s="1"/>
  <c r="B84" i="12"/>
  <c r="B307" i="22" s="1"/>
  <c r="B83" i="12"/>
  <c r="B306" i="22" s="1"/>
  <c r="B82" i="12"/>
  <c r="B305" i="22" s="1"/>
  <c r="B81" i="12"/>
  <c r="B304" i="22" s="1"/>
  <c r="B80" i="12"/>
  <c r="B303" i="22" s="1"/>
  <c r="B79" i="12"/>
  <c r="B302" i="22" s="1"/>
  <c r="B78" i="12"/>
  <c r="B301" i="22" s="1"/>
  <c r="B77" i="12"/>
  <c r="B300" i="22" s="1"/>
  <c r="B76" i="12"/>
  <c r="B299" i="22" s="1"/>
  <c r="B74" i="12"/>
  <c r="B297" i="22" s="1"/>
  <c r="B73" i="12"/>
  <c r="B296" i="22" s="1"/>
  <c r="B72" i="12"/>
  <c r="B295" i="22" s="1"/>
  <c r="B71" i="12"/>
  <c r="B294" i="22" s="1"/>
  <c r="B70" i="12"/>
  <c r="B293" i="22" s="1"/>
  <c r="B69" i="12"/>
  <c r="B292" i="22" s="1"/>
  <c r="B68" i="12"/>
  <c r="B291" i="22" s="1"/>
  <c r="B67" i="12"/>
  <c r="B290" i="22" s="1"/>
  <c r="B66" i="12"/>
  <c r="B289" i="22" s="1"/>
  <c r="B65" i="12"/>
  <c r="B288" i="22" s="1"/>
  <c r="B64" i="12"/>
  <c r="B287" i="22" s="1"/>
  <c r="B63" i="12"/>
  <c r="B286" i="22" s="1"/>
  <c r="B61" i="12"/>
  <c r="B284" i="22" s="1"/>
  <c r="B60" i="12"/>
  <c r="B283" i="22" s="1"/>
  <c r="B59" i="12"/>
  <c r="B282" i="22" s="1"/>
  <c r="B58" i="12"/>
  <c r="B281" i="22" s="1"/>
  <c r="B57" i="12"/>
  <c r="B280" i="22" s="1"/>
  <c r="B56" i="12"/>
  <c r="B279" i="22" s="1"/>
  <c r="B55" i="12"/>
  <c r="B278" i="22" s="1"/>
  <c r="B54" i="12"/>
  <c r="B277" i="22" s="1"/>
  <c r="B53" i="12"/>
  <c r="B276" i="22" s="1"/>
  <c r="B52" i="12"/>
  <c r="B275" i="22" s="1"/>
  <c r="B51" i="12"/>
  <c r="B274" i="22" s="1"/>
  <c r="B50" i="12"/>
  <c r="B273" i="22" s="1"/>
  <c r="B49" i="12"/>
  <c r="B272" i="22" s="1"/>
  <c r="B48" i="12"/>
  <c r="B271" i="22" s="1"/>
  <c r="B47" i="12"/>
  <c r="B270" i="22" s="1"/>
  <c r="B46" i="12"/>
  <c r="B269" i="22" s="1"/>
  <c r="B45" i="12"/>
  <c r="B268" i="22" s="1"/>
  <c r="B44" i="12"/>
  <c r="B267" i="22" s="1"/>
  <c r="B43" i="12"/>
  <c r="B266" i="22" s="1"/>
  <c r="B42" i="12"/>
  <c r="B265" i="22" s="1"/>
  <c r="B41" i="12"/>
  <c r="B264" i="22" s="1"/>
  <c r="B40" i="12"/>
  <c r="B263" i="22" s="1"/>
  <c r="B39" i="12"/>
  <c r="B262" i="22" s="1"/>
  <c r="B38" i="12"/>
  <c r="B261" i="22" s="1"/>
  <c r="B37" i="12"/>
  <c r="B260" i="22" s="1"/>
  <c r="B36" i="12"/>
  <c r="B259" i="22" s="1"/>
  <c r="B35" i="12"/>
  <c r="B258" i="22" s="1"/>
  <c r="B34" i="12"/>
  <c r="B257" i="22" s="1"/>
  <c r="B33" i="12"/>
  <c r="B256" i="22" s="1"/>
  <c r="B23" i="12"/>
  <c r="B246" i="22" s="1"/>
  <c r="B16" i="12"/>
  <c r="B15" i="12"/>
  <c r="B14" i="12"/>
  <c r="B13" i="12"/>
  <c r="A47" i="11"/>
  <c r="A46" i="11"/>
  <c r="A45" i="11"/>
  <c r="A44" i="11"/>
  <c r="A43" i="11"/>
  <c r="A42" i="11"/>
  <c r="A41" i="11"/>
  <c r="B37" i="11"/>
  <c r="B244" i="22" s="1"/>
  <c r="B36" i="11"/>
  <c r="B243" i="22" s="1"/>
  <c r="B35" i="11"/>
  <c r="B242" i="22" s="1"/>
  <c r="B34" i="11"/>
  <c r="B241" i="22" s="1"/>
  <c r="B33" i="11"/>
  <c r="B240" i="22" s="1"/>
  <c r="B32" i="11"/>
  <c r="B239" i="22" s="1"/>
  <c r="B31" i="11"/>
  <c r="B238" i="22" s="1"/>
  <c r="B30" i="11"/>
  <c r="B237" i="22" s="1"/>
  <c r="B29" i="11"/>
  <c r="B236" i="22" s="1"/>
  <c r="B28" i="11"/>
  <c r="B235" i="22" s="1"/>
  <c r="B27" i="11"/>
  <c r="B234" i="22" s="1"/>
  <c r="B26" i="11"/>
  <c r="B233" i="22" s="1"/>
  <c r="B25" i="11"/>
  <c r="B232" i="22" s="1"/>
  <c r="B24" i="11"/>
  <c r="B231" i="22" s="1"/>
  <c r="B23" i="11"/>
  <c r="B230" i="22" s="1"/>
  <c r="B22" i="11"/>
  <c r="B229" i="22" s="1"/>
  <c r="B21" i="11"/>
  <c r="B228" i="22" s="1"/>
  <c r="B20" i="11"/>
  <c r="B227" i="22" s="1"/>
  <c r="B16" i="11"/>
  <c r="B15" i="11"/>
  <c r="B14" i="11"/>
  <c r="B13" i="11"/>
  <c r="T183" i="20"/>
  <c r="T182" i="20"/>
  <c r="A78" i="10"/>
  <c r="A79" i="10"/>
  <c r="A80" i="10"/>
  <c r="A81" i="10"/>
  <c r="A82" i="10"/>
  <c r="A83" i="10"/>
  <c r="A84" i="10"/>
  <c r="T153" i="20"/>
  <c r="T77" i="20"/>
  <c r="T69" i="20"/>
  <c r="D190" i="25"/>
  <c r="D116" i="22"/>
  <c r="D117" i="22"/>
  <c r="D118" i="22"/>
  <c r="D119" i="22"/>
  <c r="D120" i="22"/>
  <c r="D121" i="22"/>
  <c r="D122" i="22"/>
  <c r="D123" i="22"/>
  <c r="D124" i="22"/>
  <c r="D125" i="22"/>
  <c r="D82" i="22"/>
  <c r="D83" i="22"/>
  <c r="D84" i="22"/>
  <c r="D85" i="22"/>
  <c r="D86" i="22"/>
  <c r="D87" i="22"/>
  <c r="D89" i="22"/>
  <c r="D90" i="22"/>
  <c r="D91" i="22"/>
  <c r="D92" i="22"/>
  <c r="D93" i="22"/>
  <c r="D95" i="22"/>
  <c r="D98" i="22"/>
  <c r="D99" i="22"/>
  <c r="D100" i="22"/>
  <c r="D101" i="22"/>
  <c r="D102" i="22"/>
  <c r="D103" i="22"/>
  <c r="D104" i="22"/>
  <c r="D105" i="22"/>
  <c r="D106" i="22"/>
  <c r="D107" i="22"/>
  <c r="D108" i="22"/>
  <c r="D109" i="22"/>
  <c r="D110" i="22"/>
  <c r="D112" i="22"/>
  <c r="D113" i="22"/>
  <c r="D114" i="22"/>
  <c r="D115" i="22"/>
  <c r="B20" i="10"/>
  <c r="B171" i="22" s="1"/>
  <c r="B21" i="10"/>
  <c r="B172" i="22" s="1"/>
  <c r="B22" i="10"/>
  <c r="B173" i="22" s="1"/>
  <c r="B23" i="10"/>
  <c r="B174" i="22" s="1"/>
  <c r="B24" i="10"/>
  <c r="B175" i="22" s="1"/>
  <c r="B25" i="10"/>
  <c r="B176" i="22" s="1"/>
  <c r="B26" i="10"/>
  <c r="B177" i="22" s="1"/>
  <c r="B27" i="10"/>
  <c r="B178" i="22" s="1"/>
  <c r="B179" i="22"/>
  <c r="B180" i="22"/>
  <c r="B30" i="10"/>
  <c r="B181" i="22" s="1"/>
  <c r="B74" i="10"/>
  <c r="B225" i="22" s="1"/>
  <c r="B73" i="10"/>
  <c r="B224" i="22" s="1"/>
  <c r="B72" i="10"/>
  <c r="B223" i="22" s="1"/>
  <c r="B71" i="10"/>
  <c r="B222" i="22" s="1"/>
  <c r="B70" i="10"/>
  <c r="B221" i="22" s="1"/>
  <c r="B69" i="10"/>
  <c r="B220" i="22" s="1"/>
  <c r="B218" i="22"/>
  <c r="B66" i="10"/>
  <c r="B217" i="22" s="1"/>
  <c r="B65" i="10"/>
  <c r="B216" i="22" s="1"/>
  <c r="B64" i="10"/>
  <c r="B215" i="22" s="1"/>
  <c r="B62" i="10"/>
  <c r="B213" i="22" s="1"/>
  <c r="B61" i="10"/>
  <c r="B212" i="22" s="1"/>
  <c r="B60" i="10"/>
  <c r="B211" i="22" s="1"/>
  <c r="B59" i="10"/>
  <c r="B210" i="22" s="1"/>
  <c r="B209" i="22"/>
  <c r="B57" i="10"/>
  <c r="B208" i="22" s="1"/>
  <c r="B56" i="10"/>
  <c r="B207" i="22" s="1"/>
  <c r="B55" i="10"/>
  <c r="B206" i="22" s="1"/>
  <c r="B54" i="10"/>
  <c r="B205" i="22" s="1"/>
  <c r="B53" i="10"/>
  <c r="B204" i="22" s="1"/>
  <c r="B52" i="10"/>
  <c r="B203" i="22" s="1"/>
  <c r="B50" i="10"/>
  <c r="B201" i="22" s="1"/>
  <c r="B49" i="10"/>
  <c r="B200" i="22" s="1"/>
  <c r="B48" i="10"/>
  <c r="B199" i="22" s="1"/>
  <c r="B47" i="10"/>
  <c r="B198" i="22" s="1"/>
  <c r="B46" i="10"/>
  <c r="B197" i="22" s="1"/>
  <c r="B45" i="10"/>
  <c r="B196" i="22" s="1"/>
  <c r="B44" i="10"/>
  <c r="B195" i="22" s="1"/>
  <c r="B43" i="10"/>
  <c r="B194" i="22" s="1"/>
  <c r="B42" i="10"/>
  <c r="B193" i="22" s="1"/>
  <c r="B41" i="10"/>
  <c r="B192" i="22" s="1"/>
  <c r="B40" i="10"/>
  <c r="B191" i="22" s="1"/>
  <c r="B39" i="10"/>
  <c r="B190" i="22" s="1"/>
  <c r="B189" i="22"/>
  <c r="B37" i="10"/>
  <c r="B188" i="22" s="1"/>
  <c r="B36" i="10"/>
  <c r="B187" i="22" s="1"/>
  <c r="B35" i="10"/>
  <c r="B186" i="22" s="1"/>
  <c r="B33" i="10"/>
  <c r="B184" i="22" s="1"/>
  <c r="B32" i="10"/>
  <c r="B183" i="22" s="1"/>
  <c r="B31" i="10"/>
  <c r="B182" i="22" s="1"/>
  <c r="B16" i="10"/>
  <c r="B15" i="10"/>
  <c r="B14" i="10"/>
  <c r="B13" i="10"/>
  <c r="A72" i="9"/>
  <c r="A71" i="9"/>
  <c r="A70" i="9"/>
  <c r="A69" i="9"/>
  <c r="A68" i="9"/>
  <c r="A67" i="9"/>
  <c r="A66" i="9"/>
  <c r="T127" i="20"/>
  <c r="T121" i="20"/>
  <c r="T115" i="20"/>
  <c r="T95" i="20"/>
  <c r="B61" i="9"/>
  <c r="B169" i="22" s="1"/>
  <c r="B60" i="9"/>
  <c r="B168" i="22" s="1"/>
  <c r="B59" i="9"/>
  <c r="B167" i="22" s="1"/>
  <c r="B58" i="9"/>
  <c r="B166" i="22" s="1"/>
  <c r="B57" i="9"/>
  <c r="B165" i="22" s="1"/>
  <c r="B56" i="9"/>
  <c r="B164" i="22" s="1"/>
  <c r="B55" i="9"/>
  <c r="B163" i="22" s="1"/>
  <c r="B54" i="9"/>
  <c r="B162" i="22" s="1"/>
  <c r="B53" i="9"/>
  <c r="B161" i="22" s="1"/>
  <c r="B52" i="9"/>
  <c r="B160" i="22" s="1"/>
  <c r="B51" i="9"/>
  <c r="B159" i="22" s="1"/>
  <c r="B50" i="9"/>
  <c r="B158" i="22" s="1"/>
  <c r="B49" i="9"/>
  <c r="B157" i="22" s="1"/>
  <c r="B48" i="9"/>
  <c r="B156" i="22" s="1"/>
  <c r="B47" i="9"/>
  <c r="B155" i="22" s="1"/>
  <c r="B46" i="9"/>
  <c r="B154" i="22" s="1"/>
  <c r="B45" i="9"/>
  <c r="B153" i="22" s="1"/>
  <c r="B44" i="9"/>
  <c r="B152" i="22" s="1"/>
  <c r="B43" i="9"/>
  <c r="B151" i="22" s="1"/>
  <c r="B42" i="9"/>
  <c r="B150" i="22" s="1"/>
  <c r="B41" i="9"/>
  <c r="B149" i="22" s="1"/>
  <c r="B40" i="9"/>
  <c r="B148" i="22" s="1"/>
  <c r="B39" i="9"/>
  <c r="B147" i="22" s="1"/>
  <c r="B37" i="9"/>
  <c r="B145" i="22" s="1"/>
  <c r="B144" i="22"/>
  <c r="B35" i="9"/>
  <c r="B143" i="22" s="1"/>
  <c r="B34" i="9"/>
  <c r="B142" i="22" s="1"/>
  <c r="B33" i="9"/>
  <c r="B141" i="22" s="1"/>
  <c r="B32" i="9"/>
  <c r="B140" i="22" s="1"/>
  <c r="B139" i="22"/>
  <c r="B30" i="9"/>
  <c r="B138" i="22" s="1"/>
  <c r="B29" i="9"/>
  <c r="B137" i="22" s="1"/>
  <c r="B28" i="9"/>
  <c r="B136" i="22" s="1"/>
  <c r="B135" i="22"/>
  <c r="B26" i="9"/>
  <c r="B134" i="22" s="1"/>
  <c r="B25" i="9"/>
  <c r="B133" i="22" s="1"/>
  <c r="B24" i="9"/>
  <c r="B132" i="22" s="1"/>
  <c r="B23" i="9"/>
  <c r="B131" i="22" s="1"/>
  <c r="B22" i="9"/>
  <c r="B130" i="22" s="1"/>
  <c r="B21" i="9"/>
  <c r="B129" i="22" s="1"/>
  <c r="B20" i="9"/>
  <c r="B128" i="22" s="1"/>
  <c r="B16" i="9"/>
  <c r="B15" i="9"/>
  <c r="B14" i="9"/>
  <c r="B13" i="9"/>
  <c r="T166" i="20"/>
  <c r="A72" i="8"/>
  <c r="A73" i="8"/>
  <c r="A74" i="8"/>
  <c r="A75" i="8"/>
  <c r="A76" i="8"/>
  <c r="A77" i="8"/>
  <c r="B23" i="8"/>
  <c r="B82" i="22" s="1"/>
  <c r="B24" i="8"/>
  <c r="B83" i="22" s="1"/>
  <c r="B25" i="8"/>
  <c r="B84" i="22" s="1"/>
  <c r="B26" i="8"/>
  <c r="B85" i="22" s="1"/>
  <c r="B86" i="22"/>
  <c r="B28" i="8"/>
  <c r="B87" i="22" s="1"/>
  <c r="B30" i="8"/>
  <c r="B89" i="22" s="1"/>
  <c r="B31" i="8"/>
  <c r="B90" i="22" s="1"/>
  <c r="B32" i="8"/>
  <c r="B91" i="22" s="1"/>
  <c r="B33" i="8"/>
  <c r="B92" i="22" s="1"/>
  <c r="B34" i="8"/>
  <c r="B93" i="22" s="1"/>
  <c r="B36" i="8"/>
  <c r="B95" i="22" s="1"/>
  <c r="B37" i="8"/>
  <c r="B96" i="22" s="1"/>
  <c r="B38" i="8"/>
  <c r="B97" i="22" s="1"/>
  <c r="B39" i="8"/>
  <c r="B98" i="22" s="1"/>
  <c r="B40" i="8"/>
  <c r="B99" i="22" s="1"/>
  <c r="B41" i="8"/>
  <c r="B100" i="22" s="1"/>
  <c r="B42" i="8"/>
  <c r="B101" i="22" s="1"/>
  <c r="B43" i="8"/>
  <c r="B102" i="22" s="1"/>
  <c r="B103" i="22"/>
  <c r="B45" i="8"/>
  <c r="B104" i="22" s="1"/>
  <c r="B46" i="8"/>
  <c r="B105" i="22" s="1"/>
  <c r="B47" i="8"/>
  <c r="B106" i="22" s="1"/>
  <c r="B48" i="8"/>
  <c r="B107" i="22" s="1"/>
  <c r="B49" i="8"/>
  <c r="B108" i="22" s="1"/>
  <c r="B109" i="22"/>
  <c r="B110" i="22"/>
  <c r="B53" i="8"/>
  <c r="B112" i="22" s="1"/>
  <c r="B113" i="22"/>
  <c r="B55" i="8"/>
  <c r="B114" i="22" s="1"/>
  <c r="B56" i="8"/>
  <c r="B115" i="22" s="1"/>
  <c r="B14" i="8"/>
  <c r="B15" i="8"/>
  <c r="B16" i="8"/>
  <c r="B17" i="8"/>
  <c r="B18" i="8"/>
  <c r="B19" i="8"/>
  <c r="B20" i="8"/>
  <c r="B13" i="8"/>
  <c r="B24" i="4"/>
  <c r="B67" i="22" s="1"/>
  <c r="B25" i="4"/>
  <c r="B68" i="22" s="1"/>
  <c r="B26" i="4"/>
  <c r="B69" i="22" s="1"/>
  <c r="B70" i="22"/>
  <c r="B72" i="22"/>
  <c r="B30" i="4"/>
  <c r="B73" i="22" s="1"/>
  <c r="B31" i="4"/>
  <c r="B74" i="22" s="1"/>
  <c r="B32" i="4"/>
  <c r="B75" i="22" s="1"/>
  <c r="B33" i="4"/>
  <c r="B76" i="22" s="1"/>
  <c r="B34" i="4"/>
  <c r="B77" i="22" s="1"/>
  <c r="B78" i="22"/>
  <c r="B23" i="4"/>
  <c r="B66" i="22" s="1"/>
  <c r="B14" i="4"/>
  <c r="B15" i="4"/>
  <c r="B16" i="4"/>
  <c r="A10" i="21" s="1"/>
  <c r="B17" i="4"/>
  <c r="A11" i="21" s="1"/>
  <c r="B18" i="4"/>
  <c r="A12" i="21" s="1"/>
  <c r="B19" i="4"/>
  <c r="B62" i="22" s="1"/>
  <c r="B20" i="4"/>
  <c r="B63" i="22" s="1"/>
  <c r="B21" i="4"/>
  <c r="B64" i="22" s="1"/>
  <c r="B13" i="4"/>
  <c r="B67" i="8"/>
  <c r="B126" i="22" s="1"/>
  <c r="B66" i="8"/>
  <c r="B125" i="22" s="1"/>
  <c r="B65" i="8"/>
  <c r="B124" i="22" s="1"/>
  <c r="B64" i="8"/>
  <c r="B123" i="22" s="1"/>
  <c r="B63" i="8"/>
  <c r="B122" i="22" s="1"/>
  <c r="B62" i="8"/>
  <c r="B121" i="22" s="1"/>
  <c r="B61" i="8"/>
  <c r="B120" i="22" s="1"/>
  <c r="B60" i="8"/>
  <c r="B119" i="22" s="1"/>
  <c r="B59" i="8"/>
  <c r="B118" i="22" s="1"/>
  <c r="B58" i="8"/>
  <c r="B117" i="22" s="1"/>
  <c r="B57" i="8"/>
  <c r="B116" i="22" s="1"/>
  <c r="D136" i="25"/>
  <c r="B22" i="8"/>
  <c r="B81" i="22" s="1"/>
  <c r="D67" i="22"/>
  <c r="D68" i="22"/>
  <c r="D69" i="22"/>
  <c r="D70" i="22"/>
  <c r="D72" i="22"/>
  <c r="D73" i="22"/>
  <c r="D74" i="22"/>
  <c r="D75" i="22"/>
  <c r="D76" i="22"/>
  <c r="D77" i="22"/>
  <c r="D66" i="22"/>
  <c r="E26" i="12" l="1"/>
  <c r="D249" i="22" s="1"/>
  <c r="E25" i="12"/>
  <c r="E81" i="12"/>
  <c r="D304" i="22" s="1"/>
  <c r="E80" i="12"/>
  <c r="D303" i="22" s="1"/>
  <c r="E55" i="10"/>
  <c r="D206" i="22" s="1"/>
  <c r="E32" i="10"/>
  <c r="D183" i="22" s="1"/>
  <c r="E59" i="10"/>
  <c r="D210" i="22" s="1"/>
  <c r="E35" i="13"/>
  <c r="D325" i="22" s="1"/>
  <c r="E32" i="13"/>
  <c r="D322" i="22" s="1"/>
  <c r="E24" i="13"/>
  <c r="D314" i="22" s="1"/>
  <c r="E30" i="12"/>
  <c r="D253" i="22" s="1"/>
  <c r="E29" i="12"/>
  <c r="D252" i="22" s="1"/>
  <c r="E28" i="12"/>
  <c r="D251" i="22" s="1"/>
  <c r="E27" i="12"/>
  <c r="D250" i="22" s="1"/>
  <c r="E18" i="12"/>
  <c r="E24" i="12"/>
  <c r="D247" i="22" s="1"/>
  <c r="E31" i="12"/>
  <c r="D254" i="22" s="1"/>
  <c r="E23" i="12"/>
  <c r="E21" i="12"/>
  <c r="E79" i="12"/>
  <c r="D302" i="22" s="1"/>
  <c r="E78" i="12"/>
  <c r="D301" i="22" s="1"/>
  <c r="E83" i="12"/>
  <c r="D306" i="22" s="1"/>
  <c r="E85" i="12"/>
  <c r="D308" i="22" s="1"/>
  <c r="E77" i="12"/>
  <c r="D300" i="22" s="1"/>
  <c r="E84" i="12"/>
  <c r="D307" i="22" s="1"/>
  <c r="E76" i="12"/>
  <c r="D299" i="22" s="1"/>
  <c r="E82" i="12"/>
  <c r="D305" i="22" s="1"/>
  <c r="E73" i="10"/>
  <c r="D224" i="22" s="1"/>
  <c r="E64" i="10"/>
  <c r="D215" i="22" s="1"/>
  <c r="E28" i="10"/>
  <c r="D179" i="22" s="1"/>
  <c r="E20" i="10"/>
  <c r="D171" i="22" s="1"/>
  <c r="E57" i="10"/>
  <c r="D208" i="22" s="1"/>
  <c r="E22" i="10"/>
  <c r="D173" i="22" s="1"/>
  <c r="E72" i="10"/>
  <c r="D223" i="22" s="1"/>
  <c r="E62" i="10"/>
  <c r="D213" i="22" s="1"/>
  <c r="E54" i="10"/>
  <c r="D205" i="22" s="1"/>
  <c r="E27" i="10"/>
  <c r="D178" i="22" s="1"/>
  <c r="E18" i="10"/>
  <c r="E66" i="10"/>
  <c r="D217" i="22" s="1"/>
  <c r="E71" i="10"/>
  <c r="D222" i="22" s="1"/>
  <c r="E61" i="10"/>
  <c r="D212" i="22" s="1"/>
  <c r="E53" i="10"/>
  <c r="D204" i="22" s="1"/>
  <c r="E26" i="10"/>
  <c r="D177" i="22" s="1"/>
  <c r="E70" i="10"/>
  <c r="D221" i="22" s="1"/>
  <c r="E60" i="10"/>
  <c r="D211" i="22" s="1"/>
  <c r="E52" i="10"/>
  <c r="D203" i="22" s="1"/>
  <c r="E33" i="10"/>
  <c r="D184" i="22" s="1"/>
  <c r="E25" i="10"/>
  <c r="D176" i="22" s="1"/>
  <c r="E69" i="10"/>
  <c r="D220" i="22" s="1"/>
  <c r="E24" i="10"/>
  <c r="D175" i="22" s="1"/>
  <c r="E67" i="10"/>
  <c r="D218" i="22" s="1"/>
  <c r="E58" i="10"/>
  <c r="D209" i="22" s="1"/>
  <c r="E31" i="10"/>
  <c r="D182" i="22" s="1"/>
  <c r="E23" i="10"/>
  <c r="D174" i="22" s="1"/>
  <c r="E74" i="10"/>
  <c r="D225" i="22" s="1"/>
  <c r="E65" i="10"/>
  <c r="D216" i="22" s="1"/>
  <c r="E56" i="10"/>
  <c r="D207" i="22" s="1"/>
  <c r="E29" i="10"/>
  <c r="D180" i="22" s="1"/>
  <c r="E21" i="10"/>
  <c r="D172" i="22" s="1"/>
  <c r="E30" i="10"/>
  <c r="D181" i="22" s="1"/>
  <c r="E55" i="12"/>
  <c r="D278" i="22" s="1"/>
  <c r="E47" i="12"/>
  <c r="D270" i="22" s="1"/>
  <c r="E39" i="12"/>
  <c r="D262" i="22" s="1"/>
  <c r="E54" i="12"/>
  <c r="D277" i="22" s="1"/>
  <c r="E46" i="12"/>
  <c r="D269" i="22" s="1"/>
  <c r="E38" i="12"/>
  <c r="D261" i="22" s="1"/>
  <c r="E61" i="12"/>
  <c r="D284" i="22" s="1"/>
  <c r="E53" i="12"/>
  <c r="D276" i="22" s="1"/>
  <c r="E45" i="12"/>
  <c r="D268" i="22" s="1"/>
  <c r="E37" i="12"/>
  <c r="D260" i="22" s="1"/>
  <c r="E19" i="12"/>
  <c r="E60" i="12"/>
  <c r="D283" i="22" s="1"/>
  <c r="E52" i="12"/>
  <c r="D275" i="22" s="1"/>
  <c r="E44" i="12"/>
  <c r="D267" i="22" s="1"/>
  <c r="E36" i="12"/>
  <c r="D259" i="22" s="1"/>
  <c r="E59" i="12"/>
  <c r="D282" i="22" s="1"/>
  <c r="E51" i="12"/>
  <c r="D274" i="22" s="1"/>
  <c r="E43" i="12"/>
  <c r="D266" i="22" s="1"/>
  <c r="E35" i="12"/>
  <c r="D258" i="22" s="1"/>
  <c r="E58" i="12"/>
  <c r="D281" i="22" s="1"/>
  <c r="E50" i="12"/>
  <c r="D273" i="22" s="1"/>
  <c r="E42" i="12"/>
  <c r="D265" i="22" s="1"/>
  <c r="E34" i="12"/>
  <c r="D257" i="22" s="1"/>
  <c r="E57" i="12"/>
  <c r="D280" i="22" s="1"/>
  <c r="E49" i="12"/>
  <c r="D272" i="22" s="1"/>
  <c r="E41" i="12"/>
  <c r="D264" i="22" s="1"/>
  <c r="E56" i="12"/>
  <c r="D279" i="22" s="1"/>
  <c r="E48" i="12"/>
  <c r="D271" i="22" s="1"/>
  <c r="E40" i="12"/>
  <c r="D263" i="22" s="1"/>
  <c r="E33" i="12"/>
  <c r="D256" i="22" s="1"/>
  <c r="E51" i="13"/>
  <c r="D341" i="22" s="1"/>
  <c r="E42" i="13"/>
  <c r="D332" i="22" s="1"/>
  <c r="E23" i="13"/>
  <c r="D313" i="22" s="1"/>
  <c r="E50" i="13"/>
  <c r="D340" i="22" s="1"/>
  <c r="E41" i="13"/>
  <c r="D331" i="22" s="1"/>
  <c r="E31" i="13"/>
  <c r="D321" i="22" s="1"/>
  <c r="E21" i="13"/>
  <c r="D311" i="22" s="1"/>
  <c r="E25" i="13"/>
  <c r="D315" i="22" s="1"/>
  <c r="E48" i="13"/>
  <c r="D338" i="22" s="1"/>
  <c r="E39" i="13"/>
  <c r="D329" i="22" s="1"/>
  <c r="E30" i="13"/>
  <c r="D320" i="22" s="1"/>
  <c r="E20" i="13"/>
  <c r="D310" i="22" s="1"/>
  <c r="E47" i="13"/>
  <c r="D337" i="22" s="1"/>
  <c r="E38" i="13"/>
  <c r="D328" i="22" s="1"/>
  <c r="E29" i="13"/>
  <c r="D319" i="22" s="1"/>
  <c r="E18" i="13"/>
  <c r="E55" i="13"/>
  <c r="D345" i="22" s="1"/>
  <c r="E46" i="13"/>
  <c r="D336" i="22" s="1"/>
  <c r="E37" i="13"/>
  <c r="D327" i="22" s="1"/>
  <c r="E27" i="13"/>
  <c r="D317" i="22" s="1"/>
  <c r="E44" i="13"/>
  <c r="D334" i="22" s="1"/>
  <c r="E54" i="13"/>
  <c r="D344" i="22" s="1"/>
  <c r="E45" i="13"/>
  <c r="D335" i="22" s="1"/>
  <c r="E36" i="13"/>
  <c r="D326" i="22" s="1"/>
  <c r="E26" i="13"/>
  <c r="D316" i="22" s="1"/>
  <c r="E53" i="13"/>
  <c r="D343" i="22" s="1"/>
  <c r="E52" i="13"/>
  <c r="D342" i="22" s="1"/>
  <c r="E43" i="13"/>
  <c r="D333" i="22" s="1"/>
  <c r="E33" i="13"/>
  <c r="D323" i="22" s="1"/>
  <c r="E55" i="9"/>
  <c r="D163" i="22" s="1"/>
  <c r="E47" i="9"/>
  <c r="D155" i="22" s="1"/>
  <c r="E39" i="9"/>
  <c r="D147" i="22" s="1"/>
  <c r="E30" i="9"/>
  <c r="D138" i="22" s="1"/>
  <c r="E22" i="9"/>
  <c r="D130" i="22" s="1"/>
  <c r="E57" i="9"/>
  <c r="D165" i="22" s="1"/>
  <c r="E54" i="9"/>
  <c r="D162" i="22" s="1"/>
  <c r="E46" i="9"/>
  <c r="D154" i="22" s="1"/>
  <c r="E37" i="9"/>
  <c r="D145" i="22" s="1"/>
  <c r="E29" i="9"/>
  <c r="D137" i="22" s="1"/>
  <c r="E21" i="9"/>
  <c r="D129" i="22" s="1"/>
  <c r="E61" i="9"/>
  <c r="D169" i="22" s="1"/>
  <c r="E53" i="9"/>
  <c r="D161" i="22" s="1"/>
  <c r="E45" i="9"/>
  <c r="D153" i="22" s="1"/>
  <c r="E36" i="9"/>
  <c r="D144" i="22" s="1"/>
  <c r="D169" i="25" s="1"/>
  <c r="E28" i="9"/>
  <c r="D136" i="22" s="1"/>
  <c r="E20" i="9"/>
  <c r="D128" i="22" s="1"/>
  <c r="E60" i="9"/>
  <c r="D168" i="22" s="1"/>
  <c r="E52" i="9"/>
  <c r="D160" i="22" s="1"/>
  <c r="E44" i="9"/>
  <c r="D152" i="22" s="1"/>
  <c r="E35" i="9"/>
  <c r="D143" i="22" s="1"/>
  <c r="E27" i="9"/>
  <c r="D135" i="22" s="1"/>
  <c r="E18" i="9"/>
  <c r="E32" i="9"/>
  <c r="D140" i="22" s="1"/>
  <c r="E59" i="9"/>
  <c r="D167" i="22" s="1"/>
  <c r="D159" i="22"/>
  <c r="E43" i="9"/>
  <c r="D151" i="22" s="1"/>
  <c r="E34" i="9"/>
  <c r="D142" i="22" s="1"/>
  <c r="E26" i="9"/>
  <c r="D134" i="22" s="1"/>
  <c r="E49" i="9"/>
  <c r="D157" i="22" s="1"/>
  <c r="E24" i="9"/>
  <c r="D132" i="22" s="1"/>
  <c r="E58" i="9"/>
  <c r="D166" i="22" s="1"/>
  <c r="E50" i="9"/>
  <c r="D158" i="22" s="1"/>
  <c r="E42" i="9"/>
  <c r="D150" i="22" s="1"/>
  <c r="E33" i="9"/>
  <c r="D141" i="22" s="1"/>
  <c r="E25" i="9"/>
  <c r="D133" i="22" s="1"/>
  <c r="E41" i="9"/>
  <c r="D149" i="22" s="1"/>
  <c r="E56" i="9"/>
  <c r="D164" i="22" s="1"/>
  <c r="E48" i="9"/>
  <c r="D156" i="22" s="1"/>
  <c r="E40" i="9"/>
  <c r="D148" i="22" s="1"/>
  <c r="E31" i="9"/>
  <c r="D139" i="22" s="1"/>
  <c r="E23" i="9"/>
  <c r="D131" i="22" s="1"/>
  <c r="E33" i="11"/>
  <c r="D240" i="22" s="1"/>
  <c r="E25" i="11"/>
  <c r="D232" i="22" s="1"/>
  <c r="E32" i="11"/>
  <c r="D239" i="22" s="1"/>
  <c r="E24" i="11"/>
  <c r="D231" i="22" s="1"/>
  <c r="E31" i="11"/>
  <c r="D238" i="22" s="1"/>
  <c r="E23" i="11"/>
  <c r="D230" i="22" s="1"/>
  <c r="E30" i="11"/>
  <c r="D237" i="22" s="1"/>
  <c r="E22" i="11"/>
  <c r="D229" i="22" s="1"/>
  <c r="E37" i="11"/>
  <c r="D244" i="22" s="1"/>
  <c r="E29" i="11"/>
  <c r="D236" i="22" s="1"/>
  <c r="E21" i="11"/>
  <c r="D228" i="22" s="1"/>
  <c r="E35" i="11"/>
  <c r="D242" i="22" s="1"/>
  <c r="E36" i="11"/>
  <c r="D243" i="22" s="1"/>
  <c r="E28" i="11"/>
  <c r="D235" i="22" s="1"/>
  <c r="E20" i="11"/>
  <c r="D227" i="22" s="1"/>
  <c r="E27" i="11"/>
  <c r="D234" i="22" s="1"/>
  <c r="E34" i="11"/>
  <c r="D241" i="22" s="1"/>
  <c r="E26" i="11"/>
  <c r="D233" i="22" s="1"/>
  <c r="E18" i="11"/>
  <c r="D149" i="25"/>
  <c r="E92" i="22"/>
  <c r="E74" i="22"/>
  <c r="E110" i="22"/>
  <c r="E102" i="22"/>
  <c r="E93" i="22"/>
  <c r="D138" i="25"/>
  <c r="E84" i="22"/>
  <c r="D202" i="25"/>
  <c r="E121" i="22"/>
  <c r="E55" i="25"/>
  <c r="E60" i="25"/>
  <c r="E66" i="25"/>
  <c r="E71" i="25"/>
  <c r="E77" i="25"/>
  <c r="E81" i="25"/>
  <c r="E85" i="25"/>
  <c r="E89" i="25"/>
  <c r="E94" i="25"/>
  <c r="E99" i="25"/>
  <c r="E103" i="25"/>
  <c r="E107" i="25"/>
  <c r="E111" i="25"/>
  <c r="E114" i="25"/>
  <c r="E101" i="22"/>
  <c r="E108" i="22"/>
  <c r="E100" i="22"/>
  <c r="D148" i="25"/>
  <c r="E91" i="22"/>
  <c r="E82" i="22"/>
  <c r="E119" i="22"/>
  <c r="E56" i="25"/>
  <c r="E62" i="25"/>
  <c r="E68" i="25"/>
  <c r="E72" i="25"/>
  <c r="E78" i="25"/>
  <c r="E82" i="25"/>
  <c r="E86" i="25"/>
  <c r="E91" i="25"/>
  <c r="E95" i="25"/>
  <c r="E100" i="25"/>
  <c r="E104" i="25"/>
  <c r="E108" i="25"/>
  <c r="E49" i="25"/>
  <c r="E117" i="25"/>
  <c r="D137" i="25"/>
  <c r="E83" i="22"/>
  <c r="E53" i="25"/>
  <c r="E118" i="25"/>
  <c r="E72" i="22"/>
  <c r="E70" i="22"/>
  <c r="E107" i="22"/>
  <c r="E99" i="22"/>
  <c r="D147" i="25"/>
  <c r="E90" i="22"/>
  <c r="D206" i="25"/>
  <c r="E126" i="22"/>
  <c r="E118" i="22"/>
  <c r="E116" i="25"/>
  <c r="E120" i="22"/>
  <c r="D126" i="25"/>
  <c r="E66" i="22"/>
  <c r="D129" i="25"/>
  <c r="E69" i="22"/>
  <c r="D201" i="25"/>
  <c r="E115" i="22"/>
  <c r="E106" i="22"/>
  <c r="E98" i="22"/>
  <c r="D146" i="25"/>
  <c r="E89" i="22"/>
  <c r="D205" i="25"/>
  <c r="E125" i="22"/>
  <c r="E117" i="22"/>
  <c r="E47" i="25"/>
  <c r="E58" i="25"/>
  <c r="E63" i="25"/>
  <c r="E69" i="25"/>
  <c r="E73" i="25"/>
  <c r="E79" i="25"/>
  <c r="E83" i="25"/>
  <c r="E87" i="25"/>
  <c r="E92" i="25"/>
  <c r="E97" i="25"/>
  <c r="E101" i="25"/>
  <c r="E105" i="25"/>
  <c r="E109" i="25"/>
  <c r="E51" i="25"/>
  <c r="E115" i="25"/>
  <c r="E109" i="22"/>
  <c r="D200" i="25"/>
  <c r="E114" i="22"/>
  <c r="E105" i="22"/>
  <c r="E97" i="22"/>
  <c r="D141" i="25"/>
  <c r="E87" i="22"/>
  <c r="E124" i="22"/>
  <c r="E116" i="22"/>
  <c r="E48" i="25"/>
  <c r="E120" i="25"/>
  <c r="D133" i="25"/>
  <c r="E77" i="22"/>
  <c r="D128" i="25"/>
  <c r="E68" i="22"/>
  <c r="D132" i="25"/>
  <c r="E76" i="22"/>
  <c r="D127" i="25"/>
  <c r="E67" i="22"/>
  <c r="E113" i="22"/>
  <c r="E104" i="22"/>
  <c r="D172" i="25"/>
  <c r="E96" i="22"/>
  <c r="D140" i="25"/>
  <c r="E86" i="22"/>
  <c r="D204" i="25"/>
  <c r="E123" i="22"/>
  <c r="E54" i="25"/>
  <c r="E59" i="25"/>
  <c r="E65" i="25"/>
  <c r="E70" i="25"/>
  <c r="E74" i="25"/>
  <c r="E80" i="25"/>
  <c r="E84" i="25"/>
  <c r="E88" i="25"/>
  <c r="E93" i="25"/>
  <c r="E98" i="25"/>
  <c r="E102" i="25"/>
  <c r="E106" i="25"/>
  <c r="E110" i="25"/>
  <c r="E119" i="25"/>
  <c r="E73" i="22"/>
  <c r="D131" i="25"/>
  <c r="E75" i="22"/>
  <c r="E112" i="22"/>
  <c r="E103" i="22"/>
  <c r="D171" i="25"/>
  <c r="E95" i="22"/>
  <c r="D139" i="25"/>
  <c r="E85" i="22"/>
  <c r="D203" i="25"/>
  <c r="E122" i="22"/>
  <c r="E50" i="25"/>
  <c r="E113" i="25"/>
  <c r="V238" i="20"/>
  <c r="A9" i="21"/>
  <c r="C9" i="21" s="1"/>
  <c r="C12" i="21"/>
  <c r="C11" i="21"/>
  <c r="C10" i="21"/>
  <c r="A16" i="25"/>
  <c r="C16" i="25" s="1"/>
  <c r="A14" i="21"/>
  <c r="C14" i="21" s="1"/>
  <c r="A15" i="25"/>
  <c r="C15" i="25" s="1"/>
  <c r="A13" i="21"/>
  <c r="C13" i="21" s="1"/>
  <c r="S172" i="20"/>
  <c r="T172" i="20"/>
  <c r="V172" i="20" s="1"/>
  <c r="H35" i="21"/>
  <c r="S109" i="20"/>
  <c r="T109" i="20"/>
  <c r="V109" i="20" s="1"/>
  <c r="S119" i="20"/>
  <c r="T119" i="20"/>
  <c r="T147" i="20"/>
  <c r="V147" i="20" s="1"/>
  <c r="S179" i="20"/>
  <c r="T179" i="20"/>
  <c r="S49" i="20"/>
  <c r="T49" i="20"/>
  <c r="V49" i="20" s="1"/>
  <c r="S226" i="20"/>
  <c r="T226" i="20"/>
  <c r="V226" i="20" s="1"/>
  <c r="T210" i="20"/>
  <c r="V210" i="20" s="1"/>
  <c r="S195" i="20"/>
  <c r="T195" i="20"/>
  <c r="V195" i="20" s="1"/>
  <c r="S234" i="20"/>
  <c r="T234" i="20"/>
  <c r="V234" i="20" s="1"/>
  <c r="S321" i="20"/>
  <c r="T321" i="20"/>
  <c r="S123" i="20"/>
  <c r="T123" i="20"/>
  <c r="V123" i="20" s="1"/>
  <c r="S325" i="20"/>
  <c r="T325" i="20"/>
  <c r="V325" i="20" s="1"/>
  <c r="S105" i="20"/>
  <c r="T105" i="20"/>
  <c r="V105" i="20" s="1"/>
  <c r="S108" i="20"/>
  <c r="T108" i="20"/>
  <c r="V108" i="20" s="1"/>
  <c r="S178" i="20"/>
  <c r="T178" i="20"/>
  <c r="S198" i="20"/>
  <c r="T198" i="20"/>
  <c r="V198" i="20" s="1"/>
  <c r="S318" i="20"/>
  <c r="T318" i="20"/>
  <c r="V318" i="20" s="1"/>
  <c r="S162" i="20"/>
  <c r="T162" i="20"/>
  <c r="S164" i="20"/>
  <c r="T164" i="20"/>
  <c r="S149" i="20"/>
  <c r="T149" i="20"/>
  <c r="V149" i="20" s="1"/>
  <c r="S44" i="20"/>
  <c r="T44" i="20"/>
  <c r="V44" i="20" s="1"/>
  <c r="S222" i="20"/>
  <c r="T222" i="20"/>
  <c r="V222" i="20" s="1"/>
  <c r="S208" i="20"/>
  <c r="T208" i="20"/>
  <c r="V208" i="20" s="1"/>
  <c r="S194" i="20"/>
  <c r="T194" i="20"/>
  <c r="V194" i="20" s="1"/>
  <c r="S231" i="20"/>
  <c r="T231" i="20"/>
  <c r="V231" i="20" s="1"/>
  <c r="S220" i="20"/>
  <c r="T220" i="20"/>
  <c r="V220" i="20" s="1"/>
  <c r="S38" i="20"/>
  <c r="T38" i="20"/>
  <c r="S219" i="20"/>
  <c r="T219" i="20"/>
  <c r="V219" i="20" s="1"/>
  <c r="S206" i="20"/>
  <c r="T206" i="20"/>
  <c r="V206" i="20" s="1"/>
  <c r="S190" i="20"/>
  <c r="T190" i="20"/>
  <c r="S306" i="20"/>
  <c r="T306" i="20"/>
  <c r="S326" i="20"/>
  <c r="T326" i="20"/>
  <c r="V326" i="20" s="1"/>
  <c r="S170" i="20"/>
  <c r="T170" i="20"/>
  <c r="V170" i="20" s="1"/>
  <c r="S133" i="20"/>
  <c r="T133" i="20"/>
  <c r="V133" i="20" s="1"/>
  <c r="S70" i="20"/>
  <c r="T70" i="20"/>
  <c r="S154" i="20"/>
  <c r="T154" i="20"/>
  <c r="S157" i="20"/>
  <c r="T157" i="20"/>
  <c r="V157" i="20" s="1"/>
  <c r="S218" i="20"/>
  <c r="T218" i="20"/>
  <c r="S203" i="20"/>
  <c r="T203" i="20"/>
  <c r="V203" i="20" s="1"/>
  <c r="S188" i="20"/>
  <c r="T188" i="20"/>
  <c r="S310" i="20"/>
  <c r="T310" i="20"/>
  <c r="S329" i="20"/>
  <c r="T329" i="20"/>
  <c r="S165" i="20"/>
  <c r="T165" i="20"/>
  <c r="V165" i="20" s="1"/>
  <c r="S207" i="20"/>
  <c r="T207" i="20"/>
  <c r="V207" i="20" s="1"/>
  <c r="S313" i="20"/>
  <c r="T313" i="20"/>
  <c r="S151" i="20"/>
  <c r="T151" i="20"/>
  <c r="S305" i="20"/>
  <c r="T305" i="20"/>
  <c r="S158" i="20"/>
  <c r="T158" i="20"/>
  <c r="V158" i="20" s="1"/>
  <c r="S216" i="20"/>
  <c r="T216" i="20"/>
  <c r="S202" i="20"/>
  <c r="T202" i="20"/>
  <c r="V202" i="20" s="1"/>
  <c r="S187" i="20"/>
  <c r="T187" i="20"/>
  <c r="S107" i="20"/>
  <c r="T107" i="20"/>
  <c r="V107" i="20" s="1"/>
  <c r="S173" i="20"/>
  <c r="T173" i="20"/>
  <c r="V173" i="20" s="1"/>
  <c r="S177" i="20"/>
  <c r="T177" i="20"/>
  <c r="S199" i="20"/>
  <c r="T199" i="20"/>
  <c r="V199" i="20" s="1"/>
  <c r="S62" i="20"/>
  <c r="T62" i="20"/>
  <c r="V62" i="20" s="1"/>
  <c r="S317" i="20"/>
  <c r="T317" i="20"/>
  <c r="S333" i="20"/>
  <c r="T333" i="20"/>
  <c r="V333" i="20" s="1"/>
  <c r="S42" i="20"/>
  <c r="T42" i="20"/>
  <c r="V42" i="20" s="1"/>
  <c r="S230" i="20"/>
  <c r="T230" i="20"/>
  <c r="V230" i="20" s="1"/>
  <c r="S58" i="20"/>
  <c r="T58" i="20"/>
  <c r="B61" i="22"/>
  <c r="A14" i="25"/>
  <c r="C14" i="25" s="1"/>
  <c r="B60" i="22"/>
  <c r="A13" i="25"/>
  <c r="C13" i="25" s="1"/>
  <c r="B59" i="22"/>
  <c r="A12" i="25"/>
  <c r="C12" i="25" s="1"/>
  <c r="B56" i="22"/>
  <c r="A11" i="25"/>
  <c r="C11" i="25" s="1"/>
  <c r="B58" i="22"/>
  <c r="A16" i="22"/>
  <c r="C16" i="22" s="1"/>
  <c r="B57" i="22"/>
  <c r="A15" i="22"/>
  <c r="C15" i="22" s="1"/>
  <c r="B248" i="22"/>
  <c r="A13" i="22"/>
  <c r="C13" i="22" s="1"/>
  <c r="A11" i="22"/>
  <c r="C11" i="22" s="1"/>
  <c r="A12" i="22"/>
  <c r="C12" i="22" s="1"/>
  <c r="A14" i="22"/>
  <c r="C14" i="22" s="1"/>
  <c r="P173" i="20"/>
  <c r="P203" i="20"/>
  <c r="P279" i="20"/>
  <c r="P108" i="20"/>
  <c r="P166" i="20"/>
  <c r="P115" i="20"/>
  <c r="P123" i="20"/>
  <c r="P69" i="20"/>
  <c r="P77" i="20"/>
  <c r="P179" i="20"/>
  <c r="P226" i="20"/>
  <c r="P218" i="20"/>
  <c r="P210" i="20"/>
  <c r="P202" i="20"/>
  <c r="P194" i="20"/>
  <c r="P234" i="20"/>
  <c r="P305" i="20"/>
  <c r="P313" i="20"/>
  <c r="P322" i="20"/>
  <c r="P330" i="20"/>
  <c r="P292" i="20"/>
  <c r="P219" i="20"/>
  <c r="P269" i="20"/>
  <c r="P44" i="20"/>
  <c r="P133" i="20"/>
  <c r="P158" i="20"/>
  <c r="P216" i="20"/>
  <c r="P208" i="20"/>
  <c r="P62" i="20"/>
  <c r="P263" i="20"/>
  <c r="P273" i="20"/>
  <c r="P283" i="20"/>
  <c r="P290" i="20"/>
  <c r="P165" i="20"/>
  <c r="P187" i="20"/>
  <c r="P321" i="20"/>
  <c r="P259" i="20"/>
  <c r="P109" i="20"/>
  <c r="P70" i="20"/>
  <c r="P199" i="20"/>
  <c r="P191" i="20"/>
  <c r="P61" i="20"/>
  <c r="P231" i="20"/>
  <c r="P317" i="20"/>
  <c r="P325" i="20"/>
  <c r="P333" i="20"/>
  <c r="P254" i="20"/>
  <c r="P265" i="20"/>
  <c r="P107" i="20"/>
  <c r="P178" i="20"/>
  <c r="P38" i="20"/>
  <c r="P211" i="20"/>
  <c r="P289" i="20"/>
  <c r="P293" i="20"/>
  <c r="P271" i="20"/>
  <c r="P42" i="20"/>
  <c r="P207" i="20"/>
  <c r="P170" i="20"/>
  <c r="P95" i="20"/>
  <c r="P119" i="20"/>
  <c r="P127" i="20"/>
  <c r="P151" i="20"/>
  <c r="P183" i="20"/>
  <c r="P49" i="20"/>
  <c r="P58" i="20"/>
  <c r="P222" i="20"/>
  <c r="P214" i="20"/>
  <c r="P206" i="20"/>
  <c r="P198" i="20"/>
  <c r="P190" i="20"/>
  <c r="P230" i="20"/>
  <c r="P326" i="20"/>
  <c r="P256" i="20"/>
  <c r="P275" i="20"/>
  <c r="P301" i="20"/>
  <c r="P154" i="20"/>
  <c r="P195" i="20"/>
  <c r="P250" i="20"/>
  <c r="P182" i="20"/>
  <c r="P105" i="20"/>
  <c r="P162" i="20"/>
  <c r="P310" i="20"/>
  <c r="P246" i="20"/>
  <c r="P267" i="20"/>
  <c r="P277" i="20"/>
  <c r="P287" i="20"/>
  <c r="P295" i="20"/>
  <c r="P329" i="20"/>
  <c r="P157" i="20"/>
  <c r="P306" i="20"/>
  <c r="P297" i="20"/>
  <c r="P291" i="20"/>
  <c r="P164" i="20"/>
  <c r="P172" i="20"/>
  <c r="P121" i="20"/>
  <c r="P153" i="20"/>
  <c r="P177" i="20"/>
  <c r="P220" i="20"/>
  <c r="P188" i="20"/>
  <c r="P258" i="20"/>
  <c r="P294" i="20"/>
  <c r="T186" i="20"/>
  <c r="T150" i="20"/>
  <c r="T13" i="20"/>
  <c r="V13" i="20" s="1"/>
  <c r="T53" i="20"/>
  <c r="T102" i="20"/>
  <c r="T30" i="20"/>
  <c r="T52" i="20"/>
  <c r="T51" i="20"/>
  <c r="T99" i="20"/>
  <c r="T50" i="20"/>
  <c r="T31" i="20"/>
  <c r="D289" i="22"/>
  <c r="D297" i="22"/>
  <c r="D294" i="22"/>
  <c r="D290" i="22"/>
  <c r="D286" i="22"/>
  <c r="D295" i="22"/>
  <c r="D288" i="22"/>
  <c r="D291" i="22"/>
  <c r="D292" i="22"/>
  <c r="D287" i="22"/>
  <c r="D296" i="22"/>
  <c r="D293" i="22"/>
  <c r="T302" i="20"/>
  <c r="V302" i="20" s="1"/>
  <c r="T296" i="20"/>
  <c r="T251" i="20"/>
  <c r="V251" i="20" s="1"/>
  <c r="T252" i="20"/>
  <c r="V252" i="20" s="1"/>
  <c r="T268" i="20"/>
  <c r="V268" i="20" s="1"/>
  <c r="T239" i="20"/>
  <c r="V239" i="20" s="1"/>
  <c r="T299" i="20"/>
  <c r="V299" i="20" s="1"/>
  <c r="T281" i="20"/>
  <c r="V281" i="20" s="1"/>
  <c r="T285" i="20"/>
  <c r="V285" i="20" s="1"/>
  <c r="T240" i="20"/>
  <c r="V240" i="20" s="1"/>
  <c r="T244" i="20"/>
  <c r="T248" i="20"/>
  <c r="V248" i="20" s="1"/>
  <c r="T243" i="20"/>
  <c r="T247" i="20"/>
  <c r="V247" i="20" s="1"/>
  <c r="T255" i="20"/>
  <c r="T264" i="20"/>
  <c r="V264" i="20" s="1"/>
  <c r="T272" i="20"/>
  <c r="T276" i="20"/>
  <c r="V276" i="20" s="1"/>
  <c r="T253" i="20"/>
  <c r="T262" i="20"/>
  <c r="V262" i="20" s="1"/>
  <c r="T266" i="20"/>
  <c r="T270" i="20"/>
  <c r="V270" i="20" s="1"/>
  <c r="T284" i="20"/>
  <c r="V284" i="20" s="1"/>
  <c r="T298" i="20"/>
  <c r="V298" i="20" s="1"/>
  <c r="T245" i="20"/>
  <c r="V245" i="20" s="1"/>
  <c r="T249" i="20"/>
  <c r="T257" i="20"/>
  <c r="V257" i="20" s="1"/>
  <c r="T280" i="20"/>
  <c r="V280" i="20" s="1"/>
  <c r="T241" i="20"/>
  <c r="V241" i="20" s="1"/>
  <c r="T274" i="20"/>
  <c r="V274" i="20" s="1"/>
  <c r="T278" i="20"/>
  <c r="V278" i="20" s="1"/>
  <c r="T288" i="20"/>
  <c r="V288" i="20" s="1"/>
  <c r="T300" i="20"/>
  <c r="V300" i="20" s="1"/>
  <c r="T282" i="20"/>
  <c r="V282" i="20" s="1"/>
  <c r="T286" i="20"/>
  <c r="V286" i="20" s="1"/>
  <c r="T56" i="20"/>
  <c r="T79" i="20"/>
  <c r="T94" i="20"/>
  <c r="T114" i="20"/>
  <c r="T82" i="20"/>
  <c r="T81" i="20"/>
  <c r="T93" i="20"/>
  <c r="T78" i="20"/>
  <c r="T91" i="20"/>
  <c r="T84" i="20"/>
  <c r="T90" i="20"/>
  <c r="T83" i="20"/>
  <c r="T140" i="20"/>
  <c r="T76" i="20"/>
  <c r="T67" i="20"/>
  <c r="T72" i="20"/>
  <c r="T64" i="20"/>
  <c r="T71" i="20"/>
  <c r="T143" i="20"/>
  <c r="T225" i="20"/>
  <c r="T63" i="20"/>
  <c r="T59" i="20"/>
  <c r="T217" i="20"/>
  <c r="T224" i="20"/>
  <c r="T185" i="20"/>
  <c r="T155" i="20"/>
  <c r="T160" i="20"/>
  <c r="T152" i="20"/>
  <c r="T113" i="20"/>
  <c r="T118" i="20"/>
  <c r="T116" i="20"/>
  <c r="T132" i="20"/>
  <c r="T167" i="20"/>
  <c r="T110" i="20"/>
  <c r="T161" i="20"/>
  <c r="T16" i="20"/>
  <c r="V16" i="20" s="1"/>
  <c r="T15" i="20"/>
  <c r="T14" i="20"/>
  <c r="E144" i="22" l="1"/>
  <c r="E169" i="25" s="1"/>
  <c r="D248" i="22"/>
  <c r="D153" i="25" s="1"/>
  <c r="E246" i="22"/>
  <c r="E151" i="25" s="1"/>
  <c r="D246" i="22"/>
  <c r="D151" i="25" s="1"/>
  <c r="E172" i="25"/>
  <c r="E205" i="25"/>
  <c r="E203" i="25"/>
  <c r="E128" i="25"/>
  <c r="E146" i="25"/>
  <c r="E129" i="25"/>
  <c r="E202" i="25"/>
  <c r="E201" i="25"/>
  <c r="E139" i="25"/>
  <c r="E131" i="25"/>
  <c r="E204" i="25"/>
  <c r="E133" i="25"/>
  <c r="E200" i="25"/>
  <c r="E126" i="25"/>
  <c r="E206" i="25"/>
  <c r="E137" i="25"/>
  <c r="E138" i="25"/>
  <c r="E132" i="25"/>
  <c r="F20" i="14"/>
  <c r="E171" i="25"/>
  <c r="E140" i="25"/>
  <c r="E127" i="25"/>
  <c r="E141" i="25"/>
  <c r="E147" i="25"/>
  <c r="E148" i="25"/>
  <c r="E149" i="25"/>
  <c r="E343" i="22"/>
  <c r="E344" i="22"/>
  <c r="E342" i="22"/>
  <c r="E345" i="22"/>
  <c r="E341" i="22"/>
  <c r="E340" i="22"/>
  <c r="E335" i="22"/>
  <c r="E338" i="22"/>
  <c r="E334" i="22"/>
  <c r="E332" i="22"/>
  <c r="E336" i="22"/>
  <c r="E337" i="22"/>
  <c r="E333" i="22"/>
  <c r="E331" i="22"/>
  <c r="E327" i="22"/>
  <c r="E326" i="22"/>
  <c r="E329" i="22"/>
  <c r="E328" i="22"/>
  <c r="E325" i="22"/>
  <c r="E320" i="22"/>
  <c r="E323" i="22"/>
  <c r="E322" i="22"/>
  <c r="E321" i="22"/>
  <c r="E319" i="22"/>
  <c r="E315" i="22"/>
  <c r="E314" i="22"/>
  <c r="E317" i="22"/>
  <c r="E316" i="22"/>
  <c r="E313" i="22"/>
  <c r="E311" i="22"/>
  <c r="E310" i="22"/>
  <c r="E302" i="22"/>
  <c r="E307" i="22"/>
  <c r="E301" i="22"/>
  <c r="E304" i="22"/>
  <c r="E308" i="22"/>
  <c r="E303" i="22"/>
  <c r="E300" i="22"/>
  <c r="E305" i="22"/>
  <c r="E306" i="22"/>
  <c r="E299" i="22"/>
  <c r="D258" i="25"/>
  <c r="E296" i="22"/>
  <c r="E258" i="25" s="1"/>
  <c r="D256" i="25"/>
  <c r="E294" i="22"/>
  <c r="E256" i="25" s="1"/>
  <c r="D255" i="25"/>
  <c r="E293" i="22"/>
  <c r="E255" i="25" s="1"/>
  <c r="D249" i="25"/>
  <c r="E287" i="22"/>
  <c r="E249" i="25" s="1"/>
  <c r="D259" i="25"/>
  <c r="E297" i="22"/>
  <c r="E259" i="25" s="1"/>
  <c r="D254" i="25"/>
  <c r="E292" i="22"/>
  <c r="E254" i="25" s="1"/>
  <c r="D251" i="25"/>
  <c r="E289" i="22"/>
  <c r="E251" i="25" s="1"/>
  <c r="D253" i="25"/>
  <c r="E291" i="22"/>
  <c r="E253" i="25" s="1"/>
  <c r="D252" i="25"/>
  <c r="E290" i="22"/>
  <c r="E252" i="25" s="1"/>
  <c r="D250" i="25"/>
  <c r="E288" i="22"/>
  <c r="E250" i="25" s="1"/>
  <c r="D257" i="25"/>
  <c r="E295" i="22"/>
  <c r="E257" i="25" s="1"/>
  <c r="D248" i="25"/>
  <c r="E286" i="22"/>
  <c r="E248" i="25" s="1"/>
  <c r="D226" i="25"/>
  <c r="E264" i="22"/>
  <c r="E226" i="25" s="1"/>
  <c r="D244" i="25"/>
  <c r="E282" i="22"/>
  <c r="E244" i="25" s="1"/>
  <c r="D246" i="25"/>
  <c r="E284" i="22"/>
  <c r="E246" i="25" s="1"/>
  <c r="D238" i="25"/>
  <c r="E276" i="22"/>
  <c r="E238" i="25" s="1"/>
  <c r="D245" i="25"/>
  <c r="E283" i="22"/>
  <c r="E245" i="25" s="1"/>
  <c r="D243" i="25"/>
  <c r="E281" i="22"/>
  <c r="E243" i="25" s="1"/>
  <c r="D222" i="25"/>
  <c r="E260" i="22"/>
  <c r="E222" i="25" s="1"/>
  <c r="D237" i="25"/>
  <c r="E275" i="22"/>
  <c r="E237" i="25" s="1"/>
  <c r="D235" i="25"/>
  <c r="E273" i="22"/>
  <c r="E235" i="25" s="1"/>
  <c r="D229" i="25"/>
  <c r="E267" i="22"/>
  <c r="E229" i="25" s="1"/>
  <c r="D221" i="25"/>
  <c r="E259" i="22"/>
  <c r="E221" i="25" s="1"/>
  <c r="D232" i="25"/>
  <c r="E270" i="22"/>
  <c r="E232" i="25" s="1"/>
  <c r="D227" i="25"/>
  <c r="E265" i="22"/>
  <c r="E227" i="25" s="1"/>
  <c r="D236" i="25"/>
  <c r="E274" i="22"/>
  <c r="E236" i="25" s="1"/>
  <c r="D228" i="25"/>
  <c r="E266" i="22"/>
  <c r="E228" i="25" s="1"/>
  <c r="D239" i="25"/>
  <c r="E277" i="22"/>
  <c r="E239" i="25" s="1"/>
  <c r="D219" i="25"/>
  <c r="E257" i="22"/>
  <c r="E219" i="25" s="1"/>
  <c r="D220" i="25"/>
  <c r="E258" i="22"/>
  <c r="E220" i="25" s="1"/>
  <c r="D241" i="25"/>
  <c r="E279" i="22"/>
  <c r="E241" i="25" s="1"/>
  <c r="D223" i="25"/>
  <c r="E261" i="22"/>
  <c r="E223" i="25" s="1"/>
  <c r="D240" i="25"/>
  <c r="E278" i="22"/>
  <c r="E240" i="25" s="1"/>
  <c r="D242" i="25"/>
  <c r="E280" i="22"/>
  <c r="E242" i="25" s="1"/>
  <c r="D233" i="25"/>
  <c r="E271" i="22"/>
  <c r="E233" i="25" s="1"/>
  <c r="D231" i="25"/>
  <c r="E269" i="22"/>
  <c r="E231" i="25" s="1"/>
  <c r="D230" i="25"/>
  <c r="E268" i="22"/>
  <c r="E230" i="25" s="1"/>
  <c r="D224" i="25"/>
  <c r="E262" i="22"/>
  <c r="E224" i="25" s="1"/>
  <c r="D234" i="25"/>
  <c r="E272" i="22"/>
  <c r="E234" i="25" s="1"/>
  <c r="D225" i="25"/>
  <c r="E263" i="22"/>
  <c r="E225" i="25" s="1"/>
  <c r="D218" i="25"/>
  <c r="E256" i="22"/>
  <c r="E218" i="25" s="1"/>
  <c r="D152" i="25"/>
  <c r="E247" i="22"/>
  <c r="E152" i="25" s="1"/>
  <c r="D158" i="25"/>
  <c r="E253" i="22"/>
  <c r="E158" i="25" s="1"/>
  <c r="D156" i="25"/>
  <c r="E251" i="22"/>
  <c r="E156" i="25" s="1"/>
  <c r="D157" i="25"/>
  <c r="E252" i="22"/>
  <c r="E157" i="25" s="1"/>
  <c r="D155" i="25"/>
  <c r="E250" i="22"/>
  <c r="E155" i="25" s="1"/>
  <c r="E248" i="22"/>
  <c r="E153" i="25" s="1"/>
  <c r="D159" i="25"/>
  <c r="E254" i="22"/>
  <c r="E159" i="25" s="1"/>
  <c r="D154" i="25"/>
  <c r="E249" i="22"/>
  <c r="E154" i="25" s="1"/>
  <c r="E237" i="22"/>
  <c r="E239" i="22"/>
  <c r="E232" i="22"/>
  <c r="E236" i="22"/>
  <c r="E229" i="22"/>
  <c r="E230" i="22"/>
  <c r="E228" i="22"/>
  <c r="E238" i="22"/>
  <c r="E243" i="22"/>
  <c r="E240" i="22"/>
  <c r="E244" i="22"/>
  <c r="E242" i="22"/>
  <c r="E241" i="22"/>
  <c r="D144" i="25"/>
  <c r="E233" i="22"/>
  <c r="E144" i="25" s="1"/>
  <c r="E235" i="22"/>
  <c r="E234" i="22"/>
  <c r="D143" i="25"/>
  <c r="E231" i="22"/>
  <c r="E143" i="25" s="1"/>
  <c r="E227" i="22"/>
  <c r="D216" i="25"/>
  <c r="E225" i="22"/>
  <c r="E216" i="25" s="1"/>
  <c r="D215" i="25"/>
  <c r="E223" i="22"/>
  <c r="E215" i="25" s="1"/>
  <c r="E222" i="22"/>
  <c r="E224" i="22"/>
  <c r="D214" i="25"/>
  <c r="E221" i="22"/>
  <c r="E214" i="25" s="1"/>
  <c r="D213" i="25"/>
  <c r="E220" i="22"/>
  <c r="E213" i="25" s="1"/>
  <c r="D209" i="25"/>
  <c r="E216" i="22"/>
  <c r="E209" i="25" s="1"/>
  <c r="D210" i="25"/>
  <c r="E217" i="22"/>
  <c r="E210" i="25" s="1"/>
  <c r="D211" i="25"/>
  <c r="E218" i="22"/>
  <c r="E211" i="25" s="1"/>
  <c r="D208" i="25"/>
  <c r="E215" i="22"/>
  <c r="E208" i="25" s="1"/>
  <c r="E213" i="22"/>
  <c r="D194" i="25"/>
  <c r="E204" i="22"/>
  <c r="E194" i="25" s="1"/>
  <c r="D195" i="25"/>
  <c r="E205" i="22"/>
  <c r="E195" i="25" s="1"/>
  <c r="E212" i="22"/>
  <c r="E210" i="22"/>
  <c r="E209" i="22"/>
  <c r="D197" i="25"/>
  <c r="E207" i="22"/>
  <c r="E197" i="25" s="1"/>
  <c r="D196" i="25"/>
  <c r="E206" i="22"/>
  <c r="E196" i="25" s="1"/>
  <c r="E208" i="22"/>
  <c r="D198" i="25"/>
  <c r="E211" i="22"/>
  <c r="E198" i="25" s="1"/>
  <c r="D193" i="25"/>
  <c r="E203" i="22"/>
  <c r="E193" i="25" s="1"/>
  <c r="E175" i="22"/>
  <c r="E176" i="22"/>
  <c r="D162" i="25"/>
  <c r="E172" i="22"/>
  <c r="E162" i="25" s="1"/>
  <c r="E183" i="22"/>
  <c r="E179" i="22"/>
  <c r="E182" i="22"/>
  <c r="D163" i="25"/>
  <c r="E178" i="22"/>
  <c r="E163" i="25" s="1"/>
  <c r="E174" i="22"/>
  <c r="E181" i="22"/>
  <c r="E177" i="22"/>
  <c r="E173" i="22"/>
  <c r="E184" i="22"/>
  <c r="E180" i="22"/>
  <c r="D161" i="25"/>
  <c r="E171" i="22"/>
  <c r="E161" i="25" s="1"/>
  <c r="E166" i="22"/>
  <c r="D180" i="25"/>
  <c r="E156" i="22"/>
  <c r="E180" i="25" s="1"/>
  <c r="E162" i="22"/>
  <c r="D184" i="25"/>
  <c r="E160" i="22"/>
  <c r="E184" i="25" s="1"/>
  <c r="D182" i="25"/>
  <c r="E158" i="22"/>
  <c r="E182" i="25" s="1"/>
  <c r="E148" i="22"/>
  <c r="D178" i="25"/>
  <c r="E154" i="22"/>
  <c r="E178" i="25" s="1"/>
  <c r="D175" i="25"/>
  <c r="E150" i="22"/>
  <c r="E175" i="25" s="1"/>
  <c r="E164" i="22"/>
  <c r="D174" i="25"/>
  <c r="E149" i="22"/>
  <c r="E174" i="25" s="1"/>
  <c r="D177" i="25"/>
  <c r="E153" i="22"/>
  <c r="E177" i="25" s="1"/>
  <c r="D176" i="25"/>
  <c r="E152" i="22"/>
  <c r="E176" i="25" s="1"/>
  <c r="D188" i="25"/>
  <c r="E169" i="22"/>
  <c r="E188" i="25" s="1"/>
  <c r="E167" i="22"/>
  <c r="D181" i="25"/>
  <c r="E157" i="22"/>
  <c r="E181" i="25" s="1"/>
  <c r="E151" i="22"/>
  <c r="D186" i="25"/>
  <c r="E163" i="22"/>
  <c r="E186" i="25" s="1"/>
  <c r="D185" i="25"/>
  <c r="E161" i="22"/>
  <c r="E185" i="25" s="1"/>
  <c r="D183" i="25"/>
  <c r="E159" i="22"/>
  <c r="E183" i="25" s="1"/>
  <c r="D187" i="25"/>
  <c r="E168" i="22"/>
  <c r="E187" i="25" s="1"/>
  <c r="D179" i="25"/>
  <c r="E155" i="22"/>
  <c r="E179" i="25" s="1"/>
  <c r="E165" i="22"/>
  <c r="E147" i="22"/>
  <c r="E138" i="22"/>
  <c r="E142" i="22"/>
  <c r="E130" i="22"/>
  <c r="E134" i="22"/>
  <c r="E132" i="22"/>
  <c r="E145" i="22"/>
  <c r="E143" i="22"/>
  <c r="E141" i="22"/>
  <c r="E137" i="22"/>
  <c r="E135" i="22"/>
  <c r="E133" i="22"/>
  <c r="D167" i="25"/>
  <c r="E139" i="22"/>
  <c r="E167" i="25" s="1"/>
  <c r="E136" i="22"/>
  <c r="D166" i="25"/>
  <c r="E129" i="22"/>
  <c r="E166" i="25" s="1"/>
  <c r="E131" i="22"/>
  <c r="D168" i="25"/>
  <c r="E140" i="22"/>
  <c r="E168" i="25" s="1"/>
  <c r="D165" i="25"/>
  <c r="E128" i="22"/>
  <c r="E165" i="25" s="1"/>
  <c r="S117" i="20"/>
  <c r="T117" i="20"/>
  <c r="S193" i="20"/>
  <c r="T193" i="20"/>
  <c r="V193" i="20" s="1"/>
  <c r="S86" i="20"/>
  <c r="T86" i="20"/>
  <c r="S233" i="20"/>
  <c r="T233" i="20"/>
  <c r="V233" i="20" s="1"/>
  <c r="S46" i="20"/>
  <c r="T46" i="20"/>
  <c r="V46" i="20" s="1"/>
  <c r="S221" i="20"/>
  <c r="T221" i="20"/>
  <c r="V221" i="20" s="1"/>
  <c r="S215" i="20"/>
  <c r="T215" i="20"/>
  <c r="S128" i="20"/>
  <c r="T128" i="20"/>
  <c r="V128" i="20" s="1"/>
  <c r="S236" i="20"/>
  <c r="T236" i="20"/>
  <c r="V236" i="20" s="1"/>
  <c r="S85" i="20"/>
  <c r="T85" i="20"/>
  <c r="S45" i="20"/>
  <c r="T45" i="20"/>
  <c r="V45" i="20" s="1"/>
  <c r="S228" i="20"/>
  <c r="T228" i="20"/>
  <c r="V228" i="20" s="1"/>
  <c r="S142" i="20"/>
  <c r="T142" i="20"/>
  <c r="V142" i="20" s="1"/>
  <c r="S168" i="20"/>
  <c r="T168" i="20"/>
  <c r="V168" i="20" s="1"/>
  <c r="S126" i="20"/>
  <c r="T126" i="20"/>
  <c r="V126" i="20" s="1"/>
  <c r="S159" i="20"/>
  <c r="T159" i="20"/>
  <c r="V159" i="20" s="1"/>
  <c r="S60" i="20"/>
  <c r="T60" i="20"/>
  <c r="V60" i="20" s="1"/>
  <c r="S197" i="20"/>
  <c r="T197" i="20"/>
  <c r="V197" i="20" s="1"/>
  <c r="S189" i="20"/>
  <c r="T189" i="20"/>
  <c r="S181" i="20"/>
  <c r="T181" i="20"/>
  <c r="S66" i="20"/>
  <c r="T66" i="20"/>
  <c r="S120" i="20"/>
  <c r="T120" i="20"/>
  <c r="V120" i="20" s="1"/>
  <c r="S112" i="20"/>
  <c r="T112" i="20"/>
  <c r="S129" i="20"/>
  <c r="T129" i="20"/>
  <c r="V129" i="20" s="1"/>
  <c r="S315" i="20"/>
  <c r="T315" i="20"/>
  <c r="S332" i="20"/>
  <c r="T332" i="20"/>
  <c r="V332" i="20" s="1"/>
  <c r="T29" i="20"/>
  <c r="S54" i="20"/>
  <c r="T54" i="20"/>
  <c r="V54" i="20" s="1"/>
  <c r="S21" i="20"/>
  <c r="T21" i="20"/>
  <c r="V21" i="20" s="1"/>
  <c r="S176" i="20"/>
  <c r="T176" i="20"/>
  <c r="V176" i="20" s="1"/>
  <c r="S205" i="20"/>
  <c r="T205" i="20"/>
  <c r="V205" i="20" s="1"/>
  <c r="T26" i="20"/>
  <c r="S17" i="20"/>
  <c r="T17" i="20"/>
  <c r="V17" i="20" s="1"/>
  <c r="S200" i="20"/>
  <c r="T200" i="20"/>
  <c r="V200" i="20" s="1"/>
  <c r="S145" i="20"/>
  <c r="T145" i="20"/>
  <c r="V145" i="20" s="1"/>
  <c r="S303" i="20"/>
  <c r="T303" i="20"/>
  <c r="V303" i="20" s="1"/>
  <c r="T19" i="20"/>
  <c r="V19" i="20" s="1"/>
  <c r="S36" i="20"/>
  <c r="T36" i="20"/>
  <c r="V36" i="20" s="1"/>
  <c r="S130" i="20"/>
  <c r="T130" i="20"/>
  <c r="V130" i="20" s="1"/>
  <c r="S104" i="20"/>
  <c r="T104" i="20"/>
  <c r="S184" i="20"/>
  <c r="T184" i="20"/>
  <c r="V184" i="20" s="1"/>
  <c r="S212" i="20"/>
  <c r="T212" i="20"/>
  <c r="V212" i="20" s="1"/>
  <c r="S74" i="20"/>
  <c r="T74" i="20"/>
  <c r="V74" i="20" s="1"/>
  <c r="T23" i="20"/>
  <c r="V23" i="20" s="1"/>
  <c r="S175" i="20"/>
  <c r="T175" i="20"/>
  <c r="V175" i="20" s="1"/>
  <c r="S134" i="20"/>
  <c r="T134" i="20"/>
  <c r="V134" i="20" s="1"/>
  <c r="T229" i="20"/>
  <c r="V229" i="20" s="1"/>
  <c r="S192" i="20"/>
  <c r="T192" i="20"/>
  <c r="V192" i="20" s="1"/>
  <c r="T223" i="20"/>
  <c r="V223" i="20" s="1"/>
  <c r="S43" i="20"/>
  <c r="T43" i="20"/>
  <c r="V43" i="20" s="1"/>
  <c r="S144" i="20"/>
  <c r="T144" i="20"/>
  <c r="S131" i="20"/>
  <c r="T131" i="20"/>
  <c r="V131" i="20" s="1"/>
  <c r="S311" i="20"/>
  <c r="T311" i="20"/>
  <c r="S324" i="20"/>
  <c r="T324" i="20"/>
  <c r="V324" i="20" s="1"/>
  <c r="S232" i="20"/>
  <c r="T232" i="20"/>
  <c r="V232" i="20" s="1"/>
  <c r="S141" i="20"/>
  <c r="T141" i="20"/>
  <c r="V141" i="20" s="1"/>
  <c r="T22" i="20"/>
  <c r="V22" i="20" s="1"/>
  <c r="S55" i="20"/>
  <c r="T55" i="20"/>
  <c r="S122" i="20"/>
  <c r="T122" i="20"/>
  <c r="V122" i="20" s="1"/>
  <c r="S73" i="20"/>
  <c r="T73" i="20"/>
  <c r="V73" i="20" s="1"/>
  <c r="S57" i="20"/>
  <c r="T57" i="20"/>
  <c r="S139" i="20"/>
  <c r="T139" i="20"/>
  <c r="V139" i="20" s="1"/>
  <c r="S106" i="20"/>
  <c r="T106" i="20"/>
  <c r="V106" i="20" s="1"/>
  <c r="T138" i="20"/>
  <c r="V138" i="20" s="1"/>
  <c r="S39" i="20"/>
  <c r="T39" i="20"/>
  <c r="S18" i="20"/>
  <c r="T18" i="20"/>
  <c r="V18" i="20" s="1"/>
  <c r="S174" i="20"/>
  <c r="T174" i="20"/>
  <c r="V174" i="20" s="1"/>
  <c r="S148" i="20"/>
  <c r="T148" i="20"/>
  <c r="V148" i="20" s="1"/>
  <c r="S47" i="20"/>
  <c r="T47" i="20"/>
  <c r="V47" i="20" s="1"/>
  <c r="S227" i="20"/>
  <c r="T227" i="20"/>
  <c r="V227" i="20" s="1"/>
  <c r="S201" i="20"/>
  <c r="T201" i="20"/>
  <c r="V201" i="20" s="1"/>
  <c r="S196" i="20"/>
  <c r="T196" i="20"/>
  <c r="V196" i="20" s="1"/>
  <c r="S180" i="20"/>
  <c r="T180" i="20"/>
  <c r="S68" i="20"/>
  <c r="T68" i="20"/>
  <c r="S88" i="20"/>
  <c r="T88" i="20"/>
  <c r="S80" i="20"/>
  <c r="T80" i="20"/>
  <c r="S331" i="20"/>
  <c r="T331" i="20"/>
  <c r="S304" i="20"/>
  <c r="T304" i="20"/>
  <c r="T20" i="20"/>
  <c r="V20" i="20" s="1"/>
  <c r="S100" i="20"/>
  <c r="T100" i="20"/>
  <c r="V100" i="20" s="1"/>
  <c r="S103" i="20"/>
  <c r="T103" i="20"/>
  <c r="V103" i="20" s="1"/>
  <c r="S169" i="20"/>
  <c r="T169" i="20"/>
  <c r="V169" i="20" s="1"/>
  <c r="S328" i="20"/>
  <c r="T328" i="20"/>
  <c r="S111" i="20"/>
  <c r="T111" i="20"/>
  <c r="V111" i="20" s="1"/>
  <c r="S87" i="20"/>
  <c r="T87" i="20"/>
  <c r="T27" i="20"/>
  <c r="V27" i="20" s="1"/>
  <c r="T28" i="20"/>
  <c r="V28" i="20" s="1"/>
  <c r="T25" i="20"/>
  <c r="S309" i="20"/>
  <c r="T309" i="20"/>
  <c r="S4" i="20"/>
  <c r="T4" i="20"/>
  <c r="V4" i="20" s="1"/>
  <c r="H36" i="21"/>
  <c r="T209" i="20"/>
  <c r="V209" i="20" s="1"/>
  <c r="S204" i="20"/>
  <c r="T204" i="20"/>
  <c r="V204" i="20" s="1"/>
  <c r="S89" i="20"/>
  <c r="T89" i="20"/>
  <c r="S312" i="20"/>
  <c r="T312" i="20"/>
  <c r="T146" i="20"/>
  <c r="V146" i="20" s="1"/>
  <c r="S327" i="20"/>
  <c r="T327" i="20"/>
  <c r="S40" i="20"/>
  <c r="T40" i="20"/>
  <c r="S156" i="20"/>
  <c r="T156" i="20"/>
  <c r="V156" i="20" s="1"/>
  <c r="S37" i="20"/>
  <c r="T37" i="20"/>
  <c r="S235" i="20"/>
  <c r="T235" i="20"/>
  <c r="V235" i="20" s="1"/>
  <c r="S137" i="20"/>
  <c r="T137" i="20"/>
  <c r="V137" i="20" s="1"/>
  <c r="S75" i="20"/>
  <c r="T75" i="20"/>
  <c r="V75" i="20" s="1"/>
  <c r="S92" i="20"/>
  <c r="T92" i="20"/>
  <c r="V92" i="20" s="1"/>
  <c r="S323" i="20"/>
  <c r="T323" i="20"/>
  <c r="V323" i="20" s="1"/>
  <c r="S308" i="20"/>
  <c r="T308" i="20"/>
  <c r="V308" i="20" s="1"/>
  <c r="S98" i="20"/>
  <c r="T98" i="20"/>
  <c r="S48" i="20"/>
  <c r="T48" i="20"/>
  <c r="V48" i="20" s="1"/>
  <c r="S135" i="20"/>
  <c r="T135" i="20"/>
  <c r="V135" i="20" s="1"/>
  <c r="S314" i="20"/>
  <c r="T314" i="20"/>
  <c r="S163" i="20"/>
  <c r="T163" i="20"/>
  <c r="S136" i="20"/>
  <c r="T136" i="20"/>
  <c r="V136" i="20" s="1"/>
  <c r="S307" i="20"/>
  <c r="T307" i="20"/>
  <c r="T97" i="20"/>
  <c r="S125" i="20"/>
  <c r="T125" i="20"/>
  <c r="V125" i="20" s="1"/>
  <c r="S65" i="20"/>
  <c r="T65" i="20"/>
  <c r="S320" i="20"/>
  <c r="T320" i="20"/>
  <c r="S124" i="20"/>
  <c r="T124" i="20"/>
  <c r="V124" i="20" s="1"/>
  <c r="S213" i="20"/>
  <c r="T213" i="20"/>
  <c r="V213" i="20" s="1"/>
  <c r="S319" i="20"/>
  <c r="T319" i="20"/>
  <c r="S316" i="20"/>
  <c r="T316" i="20"/>
  <c r="S171" i="20"/>
  <c r="T171" i="20"/>
  <c r="V171" i="20" s="1"/>
  <c r="S101" i="20"/>
  <c r="T101" i="20"/>
  <c r="V101" i="20" s="1"/>
  <c r="S41" i="20"/>
  <c r="T41" i="20"/>
  <c r="V41" i="20" s="1"/>
  <c r="T3" i="20"/>
  <c r="P96" i="20"/>
  <c r="P167" i="20"/>
  <c r="P126" i="20"/>
  <c r="P212" i="20"/>
  <c r="P75" i="20"/>
  <c r="P93" i="20"/>
  <c r="P82" i="20"/>
  <c r="P311" i="20"/>
  <c r="P274" i="20"/>
  <c r="P257" i="20"/>
  <c r="P266" i="20"/>
  <c r="P276" i="20"/>
  <c r="P255" i="20"/>
  <c r="P251" i="20"/>
  <c r="P103" i="20"/>
  <c r="P54" i="20"/>
  <c r="P41" i="20"/>
  <c r="P12" i="20"/>
  <c r="P186" i="20"/>
  <c r="P47" i="20"/>
  <c r="P180" i="20"/>
  <c r="P175" i="20"/>
  <c r="P174" i="20"/>
  <c r="P184" i="20"/>
  <c r="P45" i="20"/>
  <c r="P192" i="20"/>
  <c r="P209" i="20"/>
  <c r="P84" i="20"/>
  <c r="P89" i="20"/>
  <c r="P114" i="20"/>
  <c r="P331" i="20"/>
  <c r="P249" i="20"/>
  <c r="P262" i="20"/>
  <c r="P232" i="20"/>
  <c r="P97" i="20"/>
  <c r="P25" i="20"/>
  <c r="P215" i="20"/>
  <c r="P91" i="20"/>
  <c r="P300" i="20"/>
  <c r="P296" i="20"/>
  <c r="P53" i="20"/>
  <c r="P116" i="20"/>
  <c r="P155" i="20"/>
  <c r="P60" i="20"/>
  <c r="P204" i="20"/>
  <c r="P223" i="20"/>
  <c r="P228" i="20"/>
  <c r="P71" i="20"/>
  <c r="P72" i="20"/>
  <c r="P90" i="20"/>
  <c r="P81" i="20"/>
  <c r="P94" i="20"/>
  <c r="P79" i="20"/>
  <c r="P307" i="20"/>
  <c r="P332" i="20"/>
  <c r="P282" i="20"/>
  <c r="P288" i="20"/>
  <c r="P298" i="20"/>
  <c r="P281" i="20"/>
  <c r="P312" i="20"/>
  <c r="P169" i="20"/>
  <c r="P176" i="20"/>
  <c r="P113" i="20"/>
  <c r="P152" i="20"/>
  <c r="P181" i="20"/>
  <c r="P68" i="20"/>
  <c r="P83" i="20"/>
  <c r="P316" i="20"/>
  <c r="P286" i="20"/>
  <c r="P253" i="20"/>
  <c r="P39" i="20"/>
  <c r="P124" i="20"/>
  <c r="P163" i="20"/>
  <c r="P134" i="20"/>
  <c r="P117" i="20"/>
  <c r="P201" i="20"/>
  <c r="P196" i="20"/>
  <c r="P189" i="20"/>
  <c r="P66" i="20"/>
  <c r="P67" i="20"/>
  <c r="P85" i="20"/>
  <c r="P88" i="20"/>
  <c r="P56" i="20"/>
  <c r="P327" i="20"/>
  <c r="P284" i="20"/>
  <c r="P243" i="20"/>
  <c r="P233" i="20"/>
  <c r="P171" i="20"/>
  <c r="P26" i="20"/>
  <c r="P27" i="20"/>
  <c r="P29" i="20"/>
  <c r="P30" i="20"/>
  <c r="P102" i="20"/>
  <c r="P50" i="20"/>
  <c r="P51" i="20"/>
  <c r="P52" i="20"/>
  <c r="P40" i="20"/>
  <c r="P309" i="20"/>
  <c r="P15" i="20"/>
  <c r="P132" i="20"/>
  <c r="P118" i="20"/>
  <c r="P213" i="20"/>
  <c r="P59" i="20"/>
  <c r="P65" i="20"/>
  <c r="P120" i="20"/>
  <c r="P131" i="20"/>
  <c r="P319" i="20"/>
  <c r="P245" i="20"/>
  <c r="P110" i="20"/>
  <c r="P122" i="20"/>
  <c r="P63" i="20"/>
  <c r="P76" i="20"/>
  <c r="P92" i="20"/>
  <c r="P130" i="20"/>
  <c r="P315" i="20"/>
  <c r="P320" i="20"/>
  <c r="P324" i="20"/>
  <c r="P264" i="20"/>
  <c r="P14" i="20"/>
  <c r="P161" i="20"/>
  <c r="P128" i="20"/>
  <c r="P156" i="20"/>
  <c r="P159" i="20"/>
  <c r="P200" i="20"/>
  <c r="P217" i="20"/>
  <c r="P74" i="20"/>
  <c r="P78" i="20"/>
  <c r="P80" i="20"/>
  <c r="P57" i="20"/>
  <c r="P278" i="20"/>
  <c r="P285" i="20"/>
  <c r="P299" i="20"/>
  <c r="P268" i="20"/>
  <c r="P302" i="20"/>
  <c r="P31" i="20"/>
  <c r="P99" i="20"/>
  <c r="P100" i="20"/>
  <c r="P101" i="20"/>
  <c r="P28" i="20"/>
  <c r="P48" i="20"/>
  <c r="P314" i="20"/>
  <c r="P106" i="20"/>
  <c r="P125" i="20"/>
  <c r="P221" i="20"/>
  <c r="P64" i="20"/>
  <c r="P129" i="20"/>
  <c r="P272" i="20"/>
  <c r="P205" i="20"/>
  <c r="P193" i="20"/>
  <c r="P73" i="20"/>
  <c r="P112" i="20"/>
  <c r="P104" i="20"/>
  <c r="P168" i="20"/>
  <c r="P111" i="20"/>
  <c r="P185" i="20"/>
  <c r="P46" i="20"/>
  <c r="P37" i="20"/>
  <c r="P229" i="20"/>
  <c r="P197" i="20"/>
  <c r="P43" i="20"/>
  <c r="P86" i="20"/>
  <c r="P323" i="20"/>
  <c r="P328" i="20"/>
  <c r="P280" i="20"/>
  <c r="P270" i="20"/>
  <c r="P252" i="20"/>
  <c r="P98" i="20"/>
  <c r="P55" i="20"/>
  <c r="F21" i="14"/>
  <c r="E38" i="22" l="1"/>
  <c r="D24" i="25"/>
  <c r="D31" i="22"/>
  <c r="S33" i="20"/>
  <c r="T33" i="20"/>
  <c r="V33" i="20" s="1"/>
  <c r="S96" i="20"/>
  <c r="T96" i="20"/>
  <c r="S35" i="20"/>
  <c r="T35" i="20"/>
  <c r="V35" i="20" s="1"/>
  <c r="S10" i="20"/>
  <c r="T10" i="20"/>
  <c r="V10" i="20" s="1"/>
  <c r="S8" i="20"/>
  <c r="T8" i="20"/>
  <c r="V8" i="20" s="1"/>
  <c r="S9" i="20"/>
  <c r="T9" i="20"/>
  <c r="V9" i="20" s="1"/>
  <c r="S6" i="20"/>
  <c r="T6" i="20"/>
  <c r="V6" i="20" s="1"/>
  <c r="S7" i="20"/>
  <c r="T7" i="20"/>
  <c r="V7" i="20" s="1"/>
  <c r="S32" i="20"/>
  <c r="T32" i="20"/>
  <c r="V32" i="20" s="1"/>
  <c r="S5" i="20"/>
  <c r="T5" i="20"/>
  <c r="V5" i="20" s="1"/>
  <c r="V3" i="20"/>
  <c r="U3" i="20"/>
  <c r="U4" i="20" s="1"/>
  <c r="S11" i="20"/>
  <c r="T11" i="20"/>
  <c r="V11" i="20" s="1"/>
  <c r="H37" i="21"/>
  <c r="S34" i="20"/>
  <c r="T34" i="20"/>
  <c r="V34" i="20" s="1"/>
  <c r="R3" i="20"/>
  <c r="R4" i="20" s="1"/>
  <c r="R5" i="20" s="1"/>
  <c r="R6" i="20" s="1"/>
  <c r="R7" i="20" s="1"/>
  <c r="R8" i="20" s="1"/>
  <c r="R9" i="20" s="1"/>
  <c r="R10" i="20" s="1"/>
  <c r="R11" i="20" s="1"/>
  <c r="R12" i="20" s="1"/>
  <c r="S3" i="20"/>
  <c r="D23" i="25"/>
  <c r="D33" i="22"/>
  <c r="D27" i="25"/>
  <c r="D30" i="25"/>
  <c r="D30" i="22"/>
  <c r="D34" i="22"/>
  <c r="D29" i="25"/>
  <c r="D22" i="22"/>
  <c r="D24" i="22"/>
  <c r="D27" i="22"/>
  <c r="D28" i="22"/>
  <c r="D26" i="25"/>
  <c r="D36" i="22"/>
  <c r="D28" i="25"/>
  <c r="D29" i="22"/>
  <c r="D25" i="22"/>
  <c r="D35" i="22"/>
  <c r="D25" i="25"/>
  <c r="D22" i="25"/>
  <c r="D19" i="21" l="1"/>
  <c r="F19" i="21" s="1"/>
  <c r="E24" i="25"/>
  <c r="F24" i="25" s="1"/>
  <c r="E31" i="22"/>
  <c r="F31" i="22" s="1"/>
  <c r="C20" i="21"/>
  <c r="U5" i="20"/>
  <c r="U6" i="20" s="1"/>
  <c r="U7" i="20" s="1"/>
  <c r="U8" i="20" s="1"/>
  <c r="U9" i="20" s="1"/>
  <c r="U10" i="20" s="1"/>
  <c r="U11" i="20" s="1"/>
  <c r="U12" i="20" s="1"/>
  <c r="T335" i="20"/>
  <c r="A26" i="21" s="1"/>
  <c r="H38" i="21"/>
  <c r="R13" i="20"/>
  <c r="S12" i="20"/>
  <c r="E30" i="25"/>
  <c r="F30" i="25" s="1"/>
  <c r="D26" i="22"/>
  <c r="E28" i="25"/>
  <c r="F28" i="25" s="1"/>
  <c r="E27" i="25"/>
  <c r="F27" i="25" s="1"/>
  <c r="E21" i="22"/>
  <c r="E22" i="22"/>
  <c r="F22" i="22" s="1"/>
  <c r="E23" i="22"/>
  <c r="E29" i="25"/>
  <c r="F29" i="25" s="1"/>
  <c r="E34" i="22"/>
  <c r="F34" i="22" s="1"/>
  <c r="E23" i="25"/>
  <c r="F23" i="25" s="1"/>
  <c r="E35" i="22"/>
  <c r="F35" i="22" s="1"/>
  <c r="E26" i="25"/>
  <c r="F26" i="25" s="1"/>
  <c r="D23" i="22"/>
  <c r="E25" i="25"/>
  <c r="F25" i="25" s="1"/>
  <c r="E24" i="22"/>
  <c r="F24" i="22" s="1"/>
  <c r="E33" i="22"/>
  <c r="F33" i="22" s="1"/>
  <c r="E25" i="22"/>
  <c r="F25" i="22" s="1"/>
  <c r="E32" i="22"/>
  <c r="E37" i="22"/>
  <c r="E36" i="22"/>
  <c r="F36" i="22" s="1"/>
  <c r="E28" i="22"/>
  <c r="F28" i="22" s="1"/>
  <c r="D32" i="22"/>
  <c r="E29" i="22"/>
  <c r="F29" i="22" s="1"/>
  <c r="E30" i="22"/>
  <c r="F30" i="22" s="1"/>
  <c r="D21" i="22"/>
  <c r="E27" i="22"/>
  <c r="F27" i="22" s="1"/>
  <c r="D21" i="25"/>
  <c r="D31" i="25" s="1"/>
  <c r="D39" i="22" s="1"/>
  <c r="D37" i="22"/>
  <c r="D20" i="21"/>
  <c r="E22" i="25"/>
  <c r="F22" i="25" s="1"/>
  <c r="F32" i="22" l="1"/>
  <c r="F23" i="22"/>
  <c r="F21" i="22"/>
  <c r="F37" i="22"/>
  <c r="E19" i="21"/>
  <c r="E20" i="21"/>
  <c r="F20" i="21" s="1"/>
  <c r="H39" i="21"/>
  <c r="A27" i="21"/>
  <c r="U13" i="20"/>
  <c r="U14" i="20" s="1"/>
  <c r="V12" i="20"/>
  <c r="R14" i="20"/>
  <c r="S13" i="20"/>
  <c r="F38" i="22"/>
  <c r="D40" i="22"/>
  <c r="E26" i="22"/>
  <c r="F26" i="22" s="1"/>
  <c r="E21" i="25"/>
  <c r="F21" i="25" s="1"/>
  <c r="U15" i="20" l="1"/>
  <c r="U16" i="20" s="1"/>
  <c r="U17" i="20" s="1"/>
  <c r="U18" i="20" s="1"/>
  <c r="U19" i="20" s="1"/>
  <c r="U20" i="20" s="1"/>
  <c r="U21" i="20" s="1"/>
  <c r="U22" i="20" s="1"/>
  <c r="U23" i="20" s="1"/>
  <c r="U24" i="20" s="1"/>
  <c r="U25" i="20" s="1"/>
  <c r="V14" i="20"/>
  <c r="H40" i="21"/>
  <c r="V15" i="20"/>
  <c r="A28" i="21"/>
  <c r="R15" i="20"/>
  <c r="S14" i="20"/>
  <c r="S30" i="20"/>
  <c r="E31" i="25"/>
  <c r="F31" i="25" s="1"/>
  <c r="E39" i="22" l="1"/>
  <c r="F39" i="22" s="1"/>
  <c r="U26" i="20"/>
  <c r="V25" i="20"/>
  <c r="A29" i="21"/>
  <c r="V30" i="20"/>
  <c r="H41" i="21"/>
  <c r="R16" i="20"/>
  <c r="S15" i="20"/>
  <c r="E40" i="22" l="1"/>
  <c r="F40" i="22" s="1"/>
  <c r="U27" i="20"/>
  <c r="U28" i="20" s="1"/>
  <c r="U29" i="20" s="1"/>
  <c r="V26" i="20"/>
  <c r="H42" i="21"/>
  <c r="A30" i="21"/>
  <c r="V31" i="20"/>
  <c r="R17" i="20"/>
  <c r="R18" i="20" s="1"/>
  <c r="R19" i="20" s="1"/>
  <c r="S16" i="20"/>
  <c r="S50" i="20"/>
  <c r="U30" i="20" l="1"/>
  <c r="U31" i="20" s="1"/>
  <c r="U32" i="20" s="1"/>
  <c r="U33" i="20" s="1"/>
  <c r="U34" i="20" s="1"/>
  <c r="U35" i="20" s="1"/>
  <c r="U36" i="20" s="1"/>
  <c r="U37" i="20" s="1"/>
  <c r="U38" i="20" s="1"/>
  <c r="U39" i="20" s="1"/>
  <c r="U40" i="20" s="1"/>
  <c r="U41" i="20" s="1"/>
  <c r="U42" i="20" s="1"/>
  <c r="U43" i="20" s="1"/>
  <c r="U44" i="20" s="1"/>
  <c r="U45" i="20" s="1"/>
  <c r="U46" i="20" s="1"/>
  <c r="U47" i="20" s="1"/>
  <c r="U48" i="20" s="1"/>
  <c r="U49" i="20" s="1"/>
  <c r="U50" i="20" s="1"/>
  <c r="U51" i="20" s="1"/>
  <c r="U52" i="20" s="1"/>
  <c r="U53" i="20" s="1"/>
  <c r="U54" i="20" s="1"/>
  <c r="U55" i="20" s="1"/>
  <c r="U56" i="20" s="1"/>
  <c r="U57" i="20" s="1"/>
  <c r="U58" i="20" s="1"/>
  <c r="U59" i="20" s="1"/>
  <c r="U60" i="20" s="1"/>
  <c r="U61" i="20" s="1"/>
  <c r="U62" i="20" s="1"/>
  <c r="U63" i="20" s="1"/>
  <c r="U64" i="20" s="1"/>
  <c r="U65" i="20" s="1"/>
  <c r="U66" i="20" s="1"/>
  <c r="U67" i="20" s="1"/>
  <c r="U68" i="20" s="1"/>
  <c r="U69" i="20" s="1"/>
  <c r="U70" i="20" s="1"/>
  <c r="U71" i="20" s="1"/>
  <c r="U72" i="20" s="1"/>
  <c r="U73" i="20" s="1"/>
  <c r="U74" i="20" s="1"/>
  <c r="U75" i="20" s="1"/>
  <c r="U76" i="20" s="1"/>
  <c r="U77" i="20" s="1"/>
  <c r="U78" i="20" s="1"/>
  <c r="U79" i="20" s="1"/>
  <c r="U80" i="20" s="1"/>
  <c r="U81" i="20" s="1"/>
  <c r="U82" i="20" s="1"/>
  <c r="U83" i="20" s="1"/>
  <c r="U84" i="20" s="1"/>
  <c r="U85" i="20" s="1"/>
  <c r="U86" i="20" s="1"/>
  <c r="U87" i="20" s="1"/>
  <c r="U88" i="20" s="1"/>
  <c r="U89" i="20" s="1"/>
  <c r="U90" i="20" s="1"/>
  <c r="U91" i="20" s="1"/>
  <c r="U92" i="20" s="1"/>
  <c r="U93" i="20" s="1"/>
  <c r="U94" i="20" s="1"/>
  <c r="U95" i="20" s="1"/>
  <c r="U96" i="20" s="1"/>
  <c r="U97" i="20" s="1"/>
  <c r="U98" i="20" s="1"/>
  <c r="U99" i="20" s="1"/>
  <c r="U100" i="20" s="1"/>
  <c r="U101" i="20" s="1"/>
  <c r="U102" i="20" s="1"/>
  <c r="U103" i="20" s="1"/>
  <c r="U104" i="20" s="1"/>
  <c r="U105" i="20" s="1"/>
  <c r="U106" i="20" s="1"/>
  <c r="U107" i="20" s="1"/>
  <c r="U108" i="20" s="1"/>
  <c r="U109" i="20" s="1"/>
  <c r="U110" i="20" s="1"/>
  <c r="U111" i="20" s="1"/>
  <c r="U112" i="20" s="1"/>
  <c r="U113" i="20" s="1"/>
  <c r="U114" i="20" s="1"/>
  <c r="U115" i="20" s="1"/>
  <c r="U116" i="20" s="1"/>
  <c r="U117" i="20" s="1"/>
  <c r="U118" i="20" s="1"/>
  <c r="U119" i="20" s="1"/>
  <c r="U120" i="20" s="1"/>
  <c r="U121" i="20" s="1"/>
  <c r="U122" i="20" s="1"/>
  <c r="U123" i="20" s="1"/>
  <c r="U124" i="20" s="1"/>
  <c r="U125" i="20" s="1"/>
  <c r="U126" i="20" s="1"/>
  <c r="U127" i="20" s="1"/>
  <c r="U128" i="20" s="1"/>
  <c r="U129" i="20" s="1"/>
  <c r="U130" i="20" s="1"/>
  <c r="U131" i="20" s="1"/>
  <c r="U132" i="20" s="1"/>
  <c r="U133" i="20" s="1"/>
  <c r="U134" i="20" s="1"/>
  <c r="U135" i="20" s="1"/>
  <c r="U136" i="20" s="1"/>
  <c r="U137" i="20" s="1"/>
  <c r="U138" i="20" s="1"/>
  <c r="U139" i="20" s="1"/>
  <c r="U140" i="20" s="1"/>
  <c r="U141" i="20" s="1"/>
  <c r="U142" i="20" s="1"/>
  <c r="U143" i="20" s="1"/>
  <c r="U144" i="20" s="1"/>
  <c r="U145" i="20" s="1"/>
  <c r="U146" i="20" s="1"/>
  <c r="U147" i="20" s="1"/>
  <c r="U148" i="20" s="1"/>
  <c r="U149" i="20" s="1"/>
  <c r="U150" i="20" s="1"/>
  <c r="U151" i="20" s="1"/>
  <c r="U152" i="20" s="1"/>
  <c r="U153" i="20" s="1"/>
  <c r="U154" i="20" s="1"/>
  <c r="U155" i="20" s="1"/>
  <c r="U156" i="20" s="1"/>
  <c r="U157" i="20" s="1"/>
  <c r="U158" i="20" s="1"/>
  <c r="U159" i="20" s="1"/>
  <c r="U160" i="20" s="1"/>
  <c r="U161" i="20" s="1"/>
  <c r="U162" i="20" s="1"/>
  <c r="U163" i="20" s="1"/>
  <c r="U164" i="20" s="1"/>
  <c r="U165" i="20" s="1"/>
  <c r="U166" i="20" s="1"/>
  <c r="U167" i="20" s="1"/>
  <c r="U168" i="20" s="1"/>
  <c r="U169" i="20" s="1"/>
  <c r="U170" i="20" s="1"/>
  <c r="U171" i="20" s="1"/>
  <c r="U172" i="20" s="1"/>
  <c r="U173" i="20" s="1"/>
  <c r="U174" i="20" s="1"/>
  <c r="U175" i="20" s="1"/>
  <c r="U176" i="20" s="1"/>
  <c r="U177" i="20" s="1"/>
  <c r="U178" i="20" s="1"/>
  <c r="U179" i="20" s="1"/>
  <c r="V29" i="20"/>
  <c r="V89" i="20"/>
  <c r="V104" i="20"/>
  <c r="V177" i="20"/>
  <c r="V178" i="20"/>
  <c r="R20" i="20"/>
  <c r="S19" i="20"/>
  <c r="H43" i="21"/>
  <c r="A31" i="21"/>
  <c r="S51" i="20"/>
  <c r="V37" i="20" l="1"/>
  <c r="R21" i="20"/>
  <c r="R22" i="20" s="1"/>
  <c r="R23" i="20" s="1"/>
  <c r="S20" i="20"/>
  <c r="U180" i="20"/>
  <c r="U181" i="20" s="1"/>
  <c r="U182" i="20" s="1"/>
  <c r="U183" i="20" s="1"/>
  <c r="U184" i="20" s="1"/>
  <c r="U185" i="20" s="1"/>
  <c r="U186" i="20" s="1"/>
  <c r="U187" i="20" s="1"/>
  <c r="U188" i="20" s="1"/>
  <c r="U189" i="20" s="1"/>
  <c r="U190" i="20" s="1"/>
  <c r="U191" i="20" s="1"/>
  <c r="U192" i="20" s="1"/>
  <c r="U193" i="20" s="1"/>
  <c r="U194" i="20" s="1"/>
  <c r="U195" i="20" s="1"/>
  <c r="U196" i="20" s="1"/>
  <c r="U197" i="20" s="1"/>
  <c r="U198" i="20" s="1"/>
  <c r="U199" i="20" s="1"/>
  <c r="U200" i="20" s="1"/>
  <c r="U201" i="20" s="1"/>
  <c r="U202" i="20" s="1"/>
  <c r="U203" i="20" s="1"/>
  <c r="U204" i="20" s="1"/>
  <c r="U205" i="20" s="1"/>
  <c r="U206" i="20" s="1"/>
  <c r="U207" i="20" s="1"/>
  <c r="U208" i="20" s="1"/>
  <c r="U209" i="20" s="1"/>
  <c r="U210" i="20" s="1"/>
  <c r="U211" i="20" s="1"/>
  <c r="U212" i="20" s="1"/>
  <c r="U213" i="20" s="1"/>
  <c r="U214" i="20" s="1"/>
  <c r="U215" i="20" s="1"/>
  <c r="U216" i="20" s="1"/>
  <c r="U217" i="20" s="1"/>
  <c r="U218" i="20" s="1"/>
  <c r="U219" i="20" s="1"/>
  <c r="U220" i="20" s="1"/>
  <c r="U221" i="20" s="1"/>
  <c r="U222" i="20" s="1"/>
  <c r="U223" i="20" s="1"/>
  <c r="U224" i="20" s="1"/>
  <c r="U225" i="20" s="1"/>
  <c r="U226" i="20" s="1"/>
  <c r="U227" i="20" s="1"/>
  <c r="U228" i="20" s="1"/>
  <c r="U229" i="20" s="1"/>
  <c r="U230" i="20" s="1"/>
  <c r="U231" i="20" s="1"/>
  <c r="U232" i="20" s="1"/>
  <c r="U233" i="20" s="1"/>
  <c r="U234" i="20" s="1"/>
  <c r="U235" i="20" s="1"/>
  <c r="U236" i="20" s="1"/>
  <c r="U237" i="20" s="1"/>
  <c r="U238" i="20" s="1"/>
  <c r="U239" i="20" s="1"/>
  <c r="U240" i="20" s="1"/>
  <c r="U241" i="20" s="1"/>
  <c r="U242" i="20" s="1"/>
  <c r="U243" i="20" s="1"/>
  <c r="U244" i="20" s="1"/>
  <c r="U245" i="20" s="1"/>
  <c r="U246" i="20" s="1"/>
  <c r="U247" i="20" s="1"/>
  <c r="U248" i="20" s="1"/>
  <c r="U249" i="20" s="1"/>
  <c r="U250" i="20" s="1"/>
  <c r="U251" i="20" s="1"/>
  <c r="U252" i="20" s="1"/>
  <c r="U253" i="20" s="1"/>
  <c r="U254" i="20" s="1"/>
  <c r="U255" i="20" s="1"/>
  <c r="U256" i="20" s="1"/>
  <c r="U257" i="20" s="1"/>
  <c r="U258" i="20" s="1"/>
  <c r="U259" i="20" s="1"/>
  <c r="U260" i="20" s="1"/>
  <c r="U261" i="20" s="1"/>
  <c r="U262" i="20" s="1"/>
  <c r="U263" i="20" s="1"/>
  <c r="U264" i="20" s="1"/>
  <c r="U265" i="20" s="1"/>
  <c r="U266" i="20" s="1"/>
  <c r="U267" i="20" s="1"/>
  <c r="U268" i="20" s="1"/>
  <c r="U269" i="20" s="1"/>
  <c r="U270" i="20" s="1"/>
  <c r="U271" i="20" s="1"/>
  <c r="U272" i="20" s="1"/>
  <c r="U273" i="20" s="1"/>
  <c r="U274" i="20" s="1"/>
  <c r="U275" i="20" s="1"/>
  <c r="U276" i="20" s="1"/>
  <c r="U277" i="20" s="1"/>
  <c r="U278" i="20" s="1"/>
  <c r="U279" i="20" s="1"/>
  <c r="U280" i="20" s="1"/>
  <c r="U281" i="20" s="1"/>
  <c r="U282" i="20" s="1"/>
  <c r="U283" i="20" s="1"/>
  <c r="U284" i="20" s="1"/>
  <c r="U285" i="20" s="1"/>
  <c r="U286" i="20" s="1"/>
  <c r="U287" i="20" s="1"/>
  <c r="U288" i="20" s="1"/>
  <c r="U289" i="20" s="1"/>
  <c r="U290" i="20" s="1"/>
  <c r="U291" i="20" s="1"/>
  <c r="U292" i="20" s="1"/>
  <c r="U293" i="20" s="1"/>
  <c r="U294" i="20" s="1"/>
  <c r="U295" i="20" s="1"/>
  <c r="U296" i="20" s="1"/>
  <c r="U297" i="20" s="1"/>
  <c r="U298" i="20" s="1"/>
  <c r="U299" i="20" s="1"/>
  <c r="U300" i="20" s="1"/>
  <c r="U301" i="20" s="1"/>
  <c r="U302" i="20" s="1"/>
  <c r="U303" i="20" s="1"/>
  <c r="U304" i="20" s="1"/>
  <c r="U305" i="20" s="1"/>
  <c r="U306" i="20" s="1"/>
  <c r="U307" i="20" s="1"/>
  <c r="U308" i="20" s="1"/>
  <c r="U309" i="20" s="1"/>
  <c r="U310" i="20" s="1"/>
  <c r="U311" i="20" s="1"/>
  <c r="U312" i="20" s="1"/>
  <c r="U313" i="20" s="1"/>
  <c r="U314" i="20" s="1"/>
  <c r="U315" i="20" s="1"/>
  <c r="U316" i="20" s="1"/>
  <c r="U317" i="20" s="1"/>
  <c r="U318" i="20" s="1"/>
  <c r="U319" i="20" s="1"/>
  <c r="U320" i="20" s="1"/>
  <c r="U321" i="20" s="1"/>
  <c r="U322" i="20" s="1"/>
  <c r="U323" i="20" s="1"/>
  <c r="U324" i="20" s="1"/>
  <c r="U325" i="20" s="1"/>
  <c r="U326" i="20" s="1"/>
  <c r="U327" i="20" s="1"/>
  <c r="U328" i="20" s="1"/>
  <c r="U329" i="20" s="1"/>
  <c r="U330" i="20" s="1"/>
  <c r="U331" i="20" s="1"/>
  <c r="U332" i="20" s="1"/>
  <c r="U333" i="20" s="1"/>
  <c r="V179" i="20"/>
  <c r="S238" i="20"/>
  <c r="S22" i="20"/>
  <c r="V38" i="20"/>
  <c r="A32" i="21"/>
  <c r="H44" i="21"/>
  <c r="S147" i="20" l="1"/>
  <c r="S239" i="20"/>
  <c r="R24" i="20"/>
  <c r="R25" i="20" s="1"/>
  <c r="S23" i="20"/>
  <c r="S29" i="20"/>
  <c r="V39" i="20"/>
  <c r="H45" i="21"/>
  <c r="A33" i="21"/>
  <c r="S240" i="20" l="1"/>
  <c r="R26" i="20"/>
  <c r="S25" i="20"/>
  <c r="S31" i="20"/>
  <c r="V40" i="20"/>
  <c r="A34" i="21"/>
  <c r="H46" i="21"/>
  <c r="S56" i="20"/>
  <c r="S244" i="20" l="1"/>
  <c r="R27" i="20"/>
  <c r="S26" i="20"/>
  <c r="V50" i="20"/>
  <c r="A35" i="21"/>
  <c r="H47" i="21"/>
  <c r="S59" i="20"/>
  <c r="S255" i="20" l="1"/>
  <c r="R28" i="20"/>
  <c r="S27" i="20"/>
  <c r="V51" i="20"/>
  <c r="V59" i="20"/>
  <c r="A36" i="21"/>
  <c r="H48" i="21"/>
  <c r="S61" i="20"/>
  <c r="S297" i="20" l="1"/>
  <c r="R29" i="20"/>
  <c r="R30" i="20" s="1"/>
  <c r="R31" i="20" s="1"/>
  <c r="R32" i="20" s="1"/>
  <c r="R33" i="20" s="1"/>
  <c r="R34" i="20" s="1"/>
  <c r="R35" i="20" s="1"/>
  <c r="R36" i="20" s="1"/>
  <c r="R37" i="20" s="1"/>
  <c r="R38" i="20" s="1"/>
  <c r="R39" i="20" s="1"/>
  <c r="R40" i="20" s="1"/>
  <c r="R41" i="20" s="1"/>
  <c r="R42" i="20" s="1"/>
  <c r="R43" i="20" s="1"/>
  <c r="R44" i="20" s="1"/>
  <c r="R45" i="20" s="1"/>
  <c r="R46" i="20" s="1"/>
  <c r="R47" i="20" s="1"/>
  <c r="R48" i="20" s="1"/>
  <c r="R49" i="20" s="1"/>
  <c r="R50" i="20" s="1"/>
  <c r="R51" i="20" s="1"/>
  <c r="R52" i="20" s="1"/>
  <c r="S52" i="20" s="1"/>
  <c r="S28" i="20"/>
  <c r="V52" i="20"/>
  <c r="V61" i="20"/>
  <c r="A37" i="21"/>
  <c r="H49" i="21"/>
  <c r="S63" i="20"/>
  <c r="R53" i="20" l="1"/>
  <c r="R54" i="20" s="1"/>
  <c r="R55" i="20" s="1"/>
  <c r="R56" i="20" s="1"/>
  <c r="R57" i="20" s="1"/>
  <c r="R58" i="20" s="1"/>
  <c r="R59" i="20" s="1"/>
  <c r="R60" i="20" s="1"/>
  <c r="R61" i="20" s="1"/>
  <c r="R62" i="20" s="1"/>
  <c r="R63" i="20" s="1"/>
  <c r="R64" i="20" s="1"/>
  <c r="R65" i="20" s="1"/>
  <c r="R66" i="20" s="1"/>
  <c r="R67" i="20" s="1"/>
  <c r="R68" i="20" s="1"/>
  <c r="R69" i="20" s="1"/>
  <c r="R70" i="20" s="1"/>
  <c r="R71" i="20" s="1"/>
  <c r="R72" i="20" s="1"/>
  <c r="R73" i="20" s="1"/>
  <c r="R74" i="20" s="1"/>
  <c r="R75" i="20" s="1"/>
  <c r="R76" i="20" s="1"/>
  <c r="R77" i="20" s="1"/>
  <c r="R78" i="20" s="1"/>
  <c r="R79" i="20" s="1"/>
  <c r="R80" i="20" s="1"/>
  <c r="R81" i="20" s="1"/>
  <c r="R82" i="20" s="1"/>
  <c r="R83" i="20" s="1"/>
  <c r="R84" i="20" s="1"/>
  <c r="R85" i="20" s="1"/>
  <c r="R86" i="20" s="1"/>
  <c r="R87" i="20" s="1"/>
  <c r="R88" i="20" s="1"/>
  <c r="R89" i="20" s="1"/>
  <c r="R90" i="20" s="1"/>
  <c r="R91" i="20" s="1"/>
  <c r="R92" i="20" s="1"/>
  <c r="R93" i="20" s="1"/>
  <c r="R94" i="20" s="1"/>
  <c r="R95" i="20" s="1"/>
  <c r="R96" i="20" s="1"/>
  <c r="R97" i="20" s="1"/>
  <c r="S53" i="20"/>
  <c r="V53" i="20"/>
  <c r="A38" i="21"/>
  <c r="V63" i="20"/>
  <c r="H50" i="21"/>
  <c r="S64" i="20"/>
  <c r="R98" i="20" l="1"/>
  <c r="R99" i="20" s="1"/>
  <c r="R100" i="20" s="1"/>
  <c r="R101" i="20" s="1"/>
  <c r="R102" i="20" s="1"/>
  <c r="R103" i="20" s="1"/>
  <c r="R104" i="20" s="1"/>
  <c r="R105" i="20" s="1"/>
  <c r="R106" i="20" s="1"/>
  <c r="R107" i="20" s="1"/>
  <c r="R108" i="20" s="1"/>
  <c r="R109" i="20" s="1"/>
  <c r="R110" i="20" s="1"/>
  <c r="R111" i="20" s="1"/>
  <c r="R112" i="20" s="1"/>
  <c r="R113" i="20" s="1"/>
  <c r="R114" i="20" s="1"/>
  <c r="R115" i="20" s="1"/>
  <c r="R116" i="20" s="1"/>
  <c r="R117" i="20" s="1"/>
  <c r="R118" i="20" s="1"/>
  <c r="R119" i="20" s="1"/>
  <c r="R120" i="20" s="1"/>
  <c r="R121" i="20" s="1"/>
  <c r="R122" i="20" s="1"/>
  <c r="R123" i="20" s="1"/>
  <c r="R124" i="20" s="1"/>
  <c r="R125" i="20" s="1"/>
  <c r="R126" i="20" s="1"/>
  <c r="R127" i="20" s="1"/>
  <c r="R128" i="20" s="1"/>
  <c r="R129" i="20" s="1"/>
  <c r="R130" i="20" s="1"/>
  <c r="R131" i="20" s="1"/>
  <c r="R132" i="20" s="1"/>
  <c r="R133" i="20" s="1"/>
  <c r="R134" i="20" s="1"/>
  <c r="R135" i="20" s="1"/>
  <c r="R136" i="20" s="1"/>
  <c r="R137" i="20" s="1"/>
  <c r="R138" i="20" s="1"/>
  <c r="R139" i="20" s="1"/>
  <c r="R140" i="20" s="1"/>
  <c r="R141" i="20" s="1"/>
  <c r="R142" i="20" s="1"/>
  <c r="R143" i="20" s="1"/>
  <c r="R144" i="20" s="1"/>
  <c r="R145" i="20" s="1"/>
  <c r="R146" i="20" s="1"/>
  <c r="S97" i="20"/>
  <c r="S138" i="20"/>
  <c r="V55" i="20"/>
  <c r="A39" i="21"/>
  <c r="H51" i="21"/>
  <c r="S67" i="20"/>
  <c r="R147" i="20" l="1"/>
  <c r="R148" i="20" s="1"/>
  <c r="R149" i="20" s="1"/>
  <c r="R150" i="20" s="1"/>
  <c r="R151" i="20" s="1"/>
  <c r="R152" i="20" s="1"/>
  <c r="R153" i="20" s="1"/>
  <c r="R154" i="20" s="1"/>
  <c r="R155" i="20" s="1"/>
  <c r="R156" i="20" s="1"/>
  <c r="R157" i="20" s="1"/>
  <c r="R158" i="20" s="1"/>
  <c r="R159" i="20" s="1"/>
  <c r="R160" i="20" s="1"/>
  <c r="R161" i="20" s="1"/>
  <c r="R162" i="20" s="1"/>
  <c r="R163" i="20" s="1"/>
  <c r="R164" i="20" s="1"/>
  <c r="R165" i="20" s="1"/>
  <c r="R166" i="20" s="1"/>
  <c r="R167" i="20" s="1"/>
  <c r="R168" i="20" s="1"/>
  <c r="R169" i="20" s="1"/>
  <c r="R170" i="20" s="1"/>
  <c r="R171" i="20" s="1"/>
  <c r="R172" i="20" s="1"/>
  <c r="R173" i="20" s="1"/>
  <c r="R174" i="20" s="1"/>
  <c r="R175" i="20" s="1"/>
  <c r="R176" i="20" s="1"/>
  <c r="R177" i="20" s="1"/>
  <c r="R178" i="20" s="1"/>
  <c r="R179" i="20" s="1"/>
  <c r="R180" i="20" s="1"/>
  <c r="R181" i="20" s="1"/>
  <c r="R182" i="20" s="1"/>
  <c r="R183" i="20" s="1"/>
  <c r="R184" i="20" s="1"/>
  <c r="R185" i="20" s="1"/>
  <c r="R186" i="20" s="1"/>
  <c r="R187" i="20" s="1"/>
  <c r="R188" i="20" s="1"/>
  <c r="R189" i="20" s="1"/>
  <c r="R190" i="20" s="1"/>
  <c r="R191" i="20" s="1"/>
  <c r="R192" i="20" s="1"/>
  <c r="R193" i="20" s="1"/>
  <c r="R194" i="20" s="1"/>
  <c r="R195" i="20" s="1"/>
  <c r="R196" i="20" s="1"/>
  <c r="R197" i="20" s="1"/>
  <c r="R198" i="20" s="1"/>
  <c r="R199" i="20" s="1"/>
  <c r="R200" i="20" s="1"/>
  <c r="R201" i="20" s="1"/>
  <c r="R202" i="20" s="1"/>
  <c r="R203" i="20" s="1"/>
  <c r="R204" i="20" s="1"/>
  <c r="R205" i="20" s="1"/>
  <c r="R206" i="20" s="1"/>
  <c r="R207" i="20" s="1"/>
  <c r="R208" i="20" s="1"/>
  <c r="R209" i="20" s="1"/>
  <c r="R210" i="20" s="1"/>
  <c r="R211" i="20" s="1"/>
  <c r="R212" i="20" s="1"/>
  <c r="R213" i="20" s="1"/>
  <c r="R214" i="20" s="1"/>
  <c r="R215" i="20" s="1"/>
  <c r="R216" i="20" s="1"/>
  <c r="R217" i="20" s="1"/>
  <c r="R218" i="20" s="1"/>
  <c r="R219" i="20" s="1"/>
  <c r="R220" i="20" s="1"/>
  <c r="R221" i="20" s="1"/>
  <c r="R222" i="20" s="1"/>
  <c r="R223" i="20" s="1"/>
  <c r="R224" i="20" s="1"/>
  <c r="R225" i="20" s="1"/>
  <c r="R226" i="20" s="1"/>
  <c r="R227" i="20" s="1"/>
  <c r="R228" i="20" s="1"/>
  <c r="R229" i="20" s="1"/>
  <c r="R230" i="20" s="1"/>
  <c r="R231" i="20" s="1"/>
  <c r="R232" i="20" s="1"/>
  <c r="R233" i="20" s="1"/>
  <c r="R234" i="20" s="1"/>
  <c r="R235" i="20" s="1"/>
  <c r="R236" i="20" s="1"/>
  <c r="R237" i="20" s="1"/>
  <c r="R238" i="20" s="1"/>
  <c r="R239" i="20" s="1"/>
  <c r="R240" i="20" s="1"/>
  <c r="R241" i="20" s="1"/>
  <c r="S146" i="20"/>
  <c r="V56" i="20"/>
  <c r="H52" i="21"/>
  <c r="A40" i="21"/>
  <c r="S69" i="20"/>
  <c r="R242" i="20" l="1"/>
  <c r="R243" i="20" s="1"/>
  <c r="R244" i="20" s="1"/>
  <c r="R245" i="20" s="1"/>
  <c r="R246" i="20" s="1"/>
  <c r="R247" i="20" s="1"/>
  <c r="R248" i="20" s="1"/>
  <c r="R249" i="20" s="1"/>
  <c r="R250" i="20" s="1"/>
  <c r="R251" i="20" s="1"/>
  <c r="R252" i="20" s="1"/>
  <c r="R253" i="20" s="1"/>
  <c r="R254" i="20" s="1"/>
  <c r="R255" i="20" s="1"/>
  <c r="R256" i="20" s="1"/>
  <c r="R257" i="20" s="1"/>
  <c r="R258" i="20" s="1"/>
  <c r="R259" i="20" s="1"/>
  <c r="R260" i="20" s="1"/>
  <c r="R261" i="20" s="1"/>
  <c r="R262" i="20" s="1"/>
  <c r="R263" i="20" s="1"/>
  <c r="R264" i="20" s="1"/>
  <c r="R265" i="20" s="1"/>
  <c r="R266" i="20" s="1"/>
  <c r="R267" i="20" s="1"/>
  <c r="R268" i="20" s="1"/>
  <c r="R269" i="20" s="1"/>
  <c r="R270" i="20" s="1"/>
  <c r="R271" i="20" s="1"/>
  <c r="R272" i="20" s="1"/>
  <c r="R273" i="20" s="1"/>
  <c r="R274" i="20" s="1"/>
  <c r="R275" i="20" s="1"/>
  <c r="R276" i="20" s="1"/>
  <c r="R277" i="20" s="1"/>
  <c r="R278" i="20" s="1"/>
  <c r="R279" i="20" s="1"/>
  <c r="R280" i="20" s="1"/>
  <c r="R281" i="20" s="1"/>
  <c r="R282" i="20" s="1"/>
  <c r="R283" i="20" s="1"/>
  <c r="R284" i="20" s="1"/>
  <c r="R285" i="20" s="1"/>
  <c r="R286" i="20" s="1"/>
  <c r="R287" i="20" s="1"/>
  <c r="R288" i="20" s="1"/>
  <c r="R289" i="20" s="1"/>
  <c r="R290" i="20" s="1"/>
  <c r="R291" i="20" s="1"/>
  <c r="R292" i="20" s="1"/>
  <c r="R293" i="20" s="1"/>
  <c r="R294" i="20" s="1"/>
  <c r="R295" i="20" s="1"/>
  <c r="R296" i="20" s="1"/>
  <c r="R297" i="20" s="1"/>
  <c r="R298" i="20" s="1"/>
  <c r="R299" i="20" s="1"/>
  <c r="R300" i="20" s="1"/>
  <c r="R301" i="20" s="1"/>
  <c r="R302" i="20" s="1"/>
  <c r="R303" i="20" s="1"/>
  <c r="R304" i="20" s="1"/>
  <c r="R305" i="20" s="1"/>
  <c r="R306" i="20" s="1"/>
  <c r="R307" i="20" s="1"/>
  <c r="R308" i="20" s="1"/>
  <c r="R309" i="20" s="1"/>
  <c r="R310" i="20" s="1"/>
  <c r="R311" i="20" s="1"/>
  <c r="R312" i="20" s="1"/>
  <c r="R313" i="20" s="1"/>
  <c r="R314" i="20" s="1"/>
  <c r="R315" i="20" s="1"/>
  <c r="R316" i="20" s="1"/>
  <c r="R317" i="20" s="1"/>
  <c r="R318" i="20" s="1"/>
  <c r="R319" i="20" s="1"/>
  <c r="R320" i="20" s="1"/>
  <c r="R321" i="20" s="1"/>
  <c r="R322" i="20" s="1"/>
  <c r="R323" i="20" s="1"/>
  <c r="R324" i="20" s="1"/>
  <c r="R325" i="20" s="1"/>
  <c r="R326" i="20" s="1"/>
  <c r="R327" i="20" s="1"/>
  <c r="R328" i="20" s="1"/>
  <c r="R329" i="20" s="1"/>
  <c r="R330" i="20" s="1"/>
  <c r="R331" i="20" s="1"/>
  <c r="R332" i="20" s="1"/>
  <c r="R333" i="20" s="1"/>
  <c r="S241" i="20"/>
  <c r="V57" i="20"/>
  <c r="A41" i="21"/>
  <c r="H53" i="21"/>
  <c r="S71" i="20"/>
  <c r="S243" i="20" l="1"/>
  <c r="V58" i="20"/>
  <c r="H54" i="21"/>
  <c r="V71" i="20"/>
  <c r="A42" i="21"/>
  <c r="S72" i="20"/>
  <c r="V64" i="20" l="1"/>
  <c r="V72" i="20"/>
  <c r="H55" i="21"/>
  <c r="A43" i="21"/>
  <c r="S76" i="20"/>
  <c r="V65" i="20" l="1"/>
  <c r="A44" i="21"/>
  <c r="H56" i="21"/>
  <c r="V76" i="20"/>
  <c r="S77" i="20"/>
  <c r="V66" i="20" l="1"/>
  <c r="V77" i="20"/>
  <c r="A45" i="21"/>
  <c r="H57" i="21"/>
  <c r="S78" i="20"/>
  <c r="V67" i="20" l="1"/>
  <c r="H58" i="21"/>
  <c r="A46" i="21"/>
  <c r="S79" i="20"/>
  <c r="V68" i="20" l="1"/>
  <c r="H59" i="21"/>
  <c r="A47" i="21"/>
  <c r="S81" i="20"/>
  <c r="V69" i="20" l="1"/>
  <c r="A48" i="21"/>
  <c r="H60" i="21"/>
  <c r="S82" i="20"/>
  <c r="V70" i="20" l="1"/>
  <c r="H61" i="21"/>
  <c r="A49" i="21"/>
  <c r="S83" i="20"/>
  <c r="V78" i="20" l="1"/>
  <c r="A50" i="21"/>
  <c r="H62" i="21"/>
  <c r="S84" i="20"/>
  <c r="V79" i="20" l="1"/>
  <c r="H63" i="21"/>
  <c r="A51" i="21"/>
  <c r="S90" i="20"/>
  <c r="V80" i="20" l="1"/>
  <c r="A52" i="21"/>
  <c r="H64" i="21"/>
  <c r="V90" i="20"/>
  <c r="S91" i="20"/>
  <c r="V81" i="20" l="1"/>
  <c r="V91" i="20"/>
  <c r="A53" i="21"/>
  <c r="H65" i="21"/>
  <c r="S93" i="20"/>
  <c r="V82" i="20" l="1"/>
  <c r="V93" i="20"/>
  <c r="H66" i="21"/>
  <c r="A54" i="21"/>
  <c r="S94" i="20"/>
  <c r="V83" i="20" l="1"/>
  <c r="H67" i="21"/>
  <c r="V94" i="20"/>
  <c r="A55" i="21"/>
  <c r="S95" i="20"/>
  <c r="V84" i="20" l="1"/>
  <c r="V95" i="20"/>
  <c r="A56" i="21"/>
  <c r="H68" i="21"/>
  <c r="S99" i="20"/>
  <c r="V85" i="20" l="1"/>
  <c r="A57" i="21"/>
  <c r="V99" i="20"/>
  <c r="H69" i="21"/>
  <c r="S102" i="20"/>
  <c r="V86" i="20" l="1"/>
  <c r="V102" i="20"/>
  <c r="H70" i="21"/>
  <c r="A58" i="21"/>
  <c r="S110" i="20"/>
  <c r="V87" i="20" l="1"/>
  <c r="A59" i="21"/>
  <c r="H71" i="21"/>
  <c r="V110" i="20"/>
  <c r="S113" i="20"/>
  <c r="V88" i="20" l="1"/>
  <c r="A60" i="21"/>
  <c r="H72" i="21"/>
  <c r="S114" i="20"/>
  <c r="V96" i="20" l="1"/>
  <c r="A61" i="21"/>
  <c r="H73" i="21"/>
  <c r="S115" i="20"/>
  <c r="V97" i="20" l="1"/>
  <c r="H74" i="21"/>
  <c r="A62" i="21"/>
  <c r="S116" i="20"/>
  <c r="V98" i="20" l="1"/>
  <c r="A63" i="21"/>
  <c r="H75" i="21"/>
  <c r="S118" i="20"/>
  <c r="V112" i="20" l="1"/>
  <c r="H76" i="21"/>
  <c r="A64" i="21"/>
  <c r="S121" i="20"/>
  <c r="V113" i="20" l="1"/>
  <c r="A65" i="21"/>
  <c r="V121" i="20"/>
  <c r="H77" i="21"/>
  <c r="S127" i="20"/>
  <c r="V114" i="20" l="1"/>
  <c r="A66" i="21"/>
  <c r="H78" i="21"/>
  <c r="V127" i="20"/>
  <c r="S132" i="20"/>
  <c r="V115" i="20" l="1"/>
  <c r="H79" i="21"/>
  <c r="V132" i="20"/>
  <c r="A67" i="21"/>
  <c r="S140" i="20"/>
  <c r="V116" i="20" l="1"/>
  <c r="H80" i="21"/>
  <c r="A68" i="21"/>
  <c r="S143" i="20"/>
  <c r="V117" i="20" l="1"/>
  <c r="H81" i="21"/>
  <c r="A69" i="21"/>
  <c r="S150" i="20"/>
  <c r="V118" i="20" l="1"/>
  <c r="A70" i="21"/>
  <c r="H82" i="21"/>
  <c r="S152" i="20"/>
  <c r="V119" i="20" l="1"/>
  <c r="H83" i="21"/>
  <c r="A71" i="21"/>
  <c r="S153" i="20"/>
  <c r="V140" i="20" l="1"/>
  <c r="A72" i="21"/>
  <c r="H84" i="21"/>
  <c r="S155" i="20"/>
  <c r="V143" i="20" l="1"/>
  <c r="H85" i="21"/>
  <c r="A73" i="21"/>
  <c r="S160" i="20"/>
  <c r="V144" i="20" l="1"/>
  <c r="V150" i="20"/>
  <c r="H86" i="21"/>
  <c r="A74" i="21"/>
  <c r="V160" i="20"/>
  <c r="S161" i="20"/>
  <c r="V151" i="20" l="1"/>
  <c r="A75" i="21"/>
  <c r="H87" i="21"/>
  <c r="S166" i="20"/>
  <c r="V152" i="20" l="1"/>
  <c r="V166" i="20"/>
  <c r="H88" i="21"/>
  <c r="A76" i="21"/>
  <c r="S167" i="20"/>
  <c r="V153" i="20" l="1"/>
  <c r="A77" i="21"/>
  <c r="H89" i="21"/>
  <c r="V167" i="20"/>
  <c r="S182" i="20"/>
  <c r="V154" i="20" l="1"/>
  <c r="H90" i="21"/>
  <c r="A78" i="21"/>
  <c r="S183" i="20"/>
  <c r="V155" i="20" l="1"/>
  <c r="V161" i="20"/>
  <c r="H91" i="21"/>
  <c r="A79" i="21"/>
  <c r="S185" i="20"/>
  <c r="V162" i="20" l="1"/>
  <c r="H92" i="21"/>
  <c r="V185" i="20"/>
  <c r="A80" i="21"/>
  <c r="S186" i="20"/>
  <c r="V163" i="20" l="1"/>
  <c r="H93" i="21"/>
  <c r="A81" i="21"/>
  <c r="S191" i="20"/>
  <c r="V164" i="20" l="1"/>
  <c r="V180" i="20"/>
  <c r="S209" i="20"/>
  <c r="A82" i="21"/>
  <c r="V191" i="20"/>
  <c r="H94" i="21"/>
  <c r="S211" i="20"/>
  <c r="V181" i="20" l="1"/>
  <c r="S210" i="20"/>
  <c r="H95" i="21"/>
  <c r="A83" i="21"/>
  <c r="V211" i="20"/>
  <c r="S214" i="20"/>
  <c r="V182" i="20" l="1"/>
  <c r="H96" i="21"/>
  <c r="V214" i="20"/>
  <c r="A84" i="21"/>
  <c r="S217" i="20"/>
  <c r="V183" i="20" l="1"/>
  <c r="V186" i="20"/>
  <c r="S223" i="20"/>
  <c r="H97" i="21"/>
  <c r="A85" i="21"/>
  <c r="S224" i="20"/>
  <c r="V187" i="20" l="1"/>
  <c r="H98" i="21"/>
  <c r="A86" i="21"/>
  <c r="V224" i="20"/>
  <c r="S225" i="20"/>
  <c r="V188" i="20" l="1"/>
  <c r="S229" i="20"/>
  <c r="A87" i="21"/>
  <c r="V225" i="20"/>
  <c r="H99" i="21"/>
  <c r="V189" i="20" l="1"/>
  <c r="S322" i="20"/>
  <c r="H100" i="21"/>
  <c r="A88" i="21"/>
  <c r="S330" i="20"/>
  <c r="V190" i="20" l="1"/>
  <c r="I25" i="21"/>
  <c r="I27" i="21"/>
  <c r="I26" i="21"/>
  <c r="M26" i="21" s="1"/>
  <c r="V215" i="20"/>
  <c r="I98" i="21"/>
  <c r="M98" i="21" s="1"/>
  <c r="A89" i="21"/>
  <c r="I99" i="21"/>
  <c r="M99" i="21" s="1"/>
  <c r="H101" i="21"/>
  <c r="I100" i="21"/>
  <c r="M100" i="21" s="1"/>
  <c r="I29" i="21"/>
  <c r="M29" i="21" s="1"/>
  <c r="I31" i="21"/>
  <c r="M31" i="21" s="1"/>
  <c r="I36" i="21"/>
  <c r="M36" i="21" s="1"/>
  <c r="I30" i="21"/>
  <c r="M30" i="21" s="1"/>
  <c r="I33" i="21"/>
  <c r="M33" i="21" s="1"/>
  <c r="I28" i="21"/>
  <c r="M28" i="21" s="1"/>
  <c r="I32" i="21"/>
  <c r="M32" i="21" s="1"/>
  <c r="I34" i="21"/>
  <c r="M34" i="21" s="1"/>
  <c r="I35" i="21"/>
  <c r="M35" i="21" s="1"/>
  <c r="I39" i="21"/>
  <c r="M39" i="21" s="1"/>
  <c r="I37" i="21"/>
  <c r="M37" i="21" s="1"/>
  <c r="I38" i="21"/>
  <c r="M38" i="21" s="1"/>
  <c r="I40" i="21"/>
  <c r="M40" i="21" s="1"/>
  <c r="I42" i="21"/>
  <c r="M42" i="21" s="1"/>
  <c r="I43" i="21"/>
  <c r="M43" i="21" s="1"/>
  <c r="I41" i="21"/>
  <c r="M41" i="21" s="1"/>
  <c r="I45" i="21"/>
  <c r="M45" i="21" s="1"/>
  <c r="I44" i="21"/>
  <c r="M44" i="21" s="1"/>
  <c r="I48" i="21"/>
  <c r="M48" i="21" s="1"/>
  <c r="I46" i="21"/>
  <c r="M46" i="21" s="1"/>
  <c r="I47" i="21"/>
  <c r="M47" i="21" s="1"/>
  <c r="I51" i="21"/>
  <c r="M51" i="21" s="1"/>
  <c r="I49" i="21"/>
  <c r="M49" i="21" s="1"/>
  <c r="I50" i="21"/>
  <c r="M50" i="21" s="1"/>
  <c r="I53" i="21"/>
  <c r="M53" i="21" s="1"/>
  <c r="I54" i="21"/>
  <c r="M54" i="21" s="1"/>
  <c r="I52" i="21"/>
  <c r="M52" i="21" s="1"/>
  <c r="I55" i="21"/>
  <c r="M55" i="21" s="1"/>
  <c r="I57" i="21"/>
  <c r="M57" i="21" s="1"/>
  <c r="I56" i="21"/>
  <c r="M56" i="21" s="1"/>
  <c r="I58" i="21"/>
  <c r="M58" i="21" s="1"/>
  <c r="I59" i="21"/>
  <c r="M59" i="21" s="1"/>
  <c r="I62" i="21"/>
  <c r="M62" i="21" s="1"/>
  <c r="I60" i="21"/>
  <c r="M60" i="21" s="1"/>
  <c r="I61" i="21"/>
  <c r="M61" i="21" s="1"/>
  <c r="I63" i="21"/>
  <c r="M63" i="21" s="1"/>
  <c r="I65" i="21"/>
  <c r="M65" i="21" s="1"/>
  <c r="I64" i="21"/>
  <c r="M64" i="21" s="1"/>
  <c r="I66" i="21"/>
  <c r="M66" i="21" s="1"/>
  <c r="I69" i="21"/>
  <c r="M69" i="21" s="1"/>
  <c r="I70" i="21"/>
  <c r="M70" i="21" s="1"/>
  <c r="I68" i="21"/>
  <c r="M68" i="21" s="1"/>
  <c r="I67" i="21"/>
  <c r="M67" i="21" s="1"/>
  <c r="I71" i="21"/>
  <c r="M71" i="21" s="1"/>
  <c r="I77" i="21"/>
  <c r="M77" i="21" s="1"/>
  <c r="I75" i="21"/>
  <c r="M75" i="21" s="1"/>
  <c r="I72" i="21"/>
  <c r="M72" i="21" s="1"/>
  <c r="I73" i="21"/>
  <c r="M73" i="21" s="1"/>
  <c r="I74" i="21"/>
  <c r="M74" i="21" s="1"/>
  <c r="I80" i="21"/>
  <c r="M80" i="21" s="1"/>
  <c r="I76" i="21"/>
  <c r="M76" i="21" s="1"/>
  <c r="I78" i="21"/>
  <c r="M78" i="21" s="1"/>
  <c r="I79" i="21"/>
  <c r="M79" i="21" s="1"/>
  <c r="I81" i="21"/>
  <c r="M81" i="21" s="1"/>
  <c r="I82" i="21"/>
  <c r="M82" i="21" s="1"/>
  <c r="I83" i="21"/>
  <c r="M83" i="21" s="1"/>
  <c r="I85" i="21"/>
  <c r="M85" i="21" s="1"/>
  <c r="I84" i="21"/>
  <c r="M84" i="21" s="1"/>
  <c r="I87" i="21"/>
  <c r="M87" i="21" s="1"/>
  <c r="I89" i="21"/>
  <c r="M89" i="21" s="1"/>
  <c r="I86" i="21"/>
  <c r="M86" i="21" s="1"/>
  <c r="I88" i="21"/>
  <c r="M88" i="21" s="1"/>
  <c r="I90" i="21"/>
  <c r="M90" i="21" s="1"/>
  <c r="I92" i="21"/>
  <c r="M92" i="21" s="1"/>
  <c r="I91" i="21"/>
  <c r="M91" i="21" s="1"/>
  <c r="I95" i="21"/>
  <c r="M95" i="21" s="1"/>
  <c r="I93" i="21"/>
  <c r="M93" i="21" s="1"/>
  <c r="I94" i="21"/>
  <c r="M94" i="21" s="1"/>
  <c r="I96" i="21"/>
  <c r="M96" i="21" s="1"/>
  <c r="I97" i="21"/>
  <c r="M97" i="21" s="1"/>
  <c r="K27" i="21" l="1"/>
  <c r="M27" i="21"/>
  <c r="L25" i="21"/>
  <c r="M25" i="21"/>
  <c r="J25" i="21"/>
  <c r="K25" i="21"/>
  <c r="J27" i="21"/>
  <c r="L27" i="21"/>
  <c r="L26" i="21"/>
  <c r="K26" i="21"/>
  <c r="J26" i="21"/>
  <c r="K98" i="21"/>
  <c r="L98" i="21"/>
  <c r="J98" i="21"/>
  <c r="V216" i="20"/>
  <c r="K93" i="21"/>
  <c r="L93" i="21"/>
  <c r="J93" i="21"/>
  <c r="K61" i="21"/>
  <c r="L61" i="21"/>
  <c r="J61" i="21"/>
  <c r="L80" i="21"/>
  <c r="J80" i="21"/>
  <c r="K80" i="21"/>
  <c r="K60" i="21"/>
  <c r="L60" i="21"/>
  <c r="J60" i="21"/>
  <c r="K44" i="21"/>
  <c r="L44" i="21"/>
  <c r="J44" i="21"/>
  <c r="K85" i="21"/>
  <c r="J85" i="21"/>
  <c r="L85" i="21"/>
  <c r="L74" i="21"/>
  <c r="K74" i="21"/>
  <c r="J74" i="21"/>
  <c r="K70" i="21"/>
  <c r="L70" i="21"/>
  <c r="J70" i="21"/>
  <c r="K62" i="21"/>
  <c r="L62" i="21"/>
  <c r="J62" i="21"/>
  <c r="K53" i="21"/>
  <c r="L53" i="21"/>
  <c r="J53" i="21"/>
  <c r="K45" i="21"/>
  <c r="L45" i="21"/>
  <c r="J45" i="21"/>
  <c r="K35" i="21"/>
  <c r="L35" i="21"/>
  <c r="J35" i="21"/>
  <c r="K29" i="21"/>
  <c r="L29" i="21"/>
  <c r="J29" i="21"/>
  <c r="K52" i="21"/>
  <c r="L52" i="21"/>
  <c r="J52" i="21"/>
  <c r="K95" i="21"/>
  <c r="L95" i="21"/>
  <c r="J95" i="21"/>
  <c r="K68" i="21"/>
  <c r="L68" i="21"/>
  <c r="J68" i="21"/>
  <c r="K54" i="21"/>
  <c r="L54" i="21"/>
  <c r="J54" i="21"/>
  <c r="K39" i="21"/>
  <c r="L39" i="21"/>
  <c r="J39" i="21"/>
  <c r="K31" i="21"/>
  <c r="L31" i="21"/>
  <c r="J31" i="21"/>
  <c r="K91" i="21"/>
  <c r="L91" i="21"/>
  <c r="J91" i="21"/>
  <c r="K92" i="21"/>
  <c r="L92" i="21"/>
  <c r="J92" i="21"/>
  <c r="K83" i="21"/>
  <c r="L83" i="21"/>
  <c r="J83" i="21"/>
  <c r="K73" i="21"/>
  <c r="L73" i="21"/>
  <c r="J73" i="21"/>
  <c r="K69" i="21"/>
  <c r="L69" i="21"/>
  <c r="J69" i="21"/>
  <c r="K59" i="21"/>
  <c r="L59" i="21"/>
  <c r="J59" i="21"/>
  <c r="L50" i="21"/>
  <c r="K50" i="21"/>
  <c r="J50" i="21"/>
  <c r="K41" i="21"/>
  <c r="L41" i="21"/>
  <c r="J41" i="21"/>
  <c r="L34" i="21"/>
  <c r="K34" i="21"/>
  <c r="J34" i="21"/>
  <c r="K100" i="21"/>
  <c r="L100" i="21"/>
  <c r="J100" i="21"/>
  <c r="A90" i="21"/>
  <c r="K76" i="21"/>
  <c r="L76" i="21"/>
  <c r="J76" i="21"/>
  <c r="K37" i="21"/>
  <c r="J37" i="21"/>
  <c r="L37" i="21"/>
  <c r="L90" i="21"/>
  <c r="K90" i="21"/>
  <c r="J90" i="21"/>
  <c r="L66" i="21"/>
  <c r="K66" i="21"/>
  <c r="J66" i="21"/>
  <c r="K43" i="21"/>
  <c r="L43" i="21"/>
  <c r="J43" i="21"/>
  <c r="H102" i="21"/>
  <c r="I101" i="21"/>
  <c r="M101" i="21" s="1"/>
  <c r="K97" i="21"/>
  <c r="L97" i="21"/>
  <c r="J97" i="21"/>
  <c r="L88" i="21"/>
  <c r="K88" i="21"/>
  <c r="J88" i="21"/>
  <c r="K81" i="21"/>
  <c r="L81" i="21"/>
  <c r="J81" i="21"/>
  <c r="K75" i="21"/>
  <c r="L75" i="21"/>
  <c r="J75" i="21"/>
  <c r="L64" i="21"/>
  <c r="J64" i="21"/>
  <c r="K64" i="21"/>
  <c r="L56" i="21"/>
  <c r="K56" i="21"/>
  <c r="J56" i="21"/>
  <c r="K51" i="21"/>
  <c r="L51" i="21"/>
  <c r="J51" i="21"/>
  <c r="L42" i="21"/>
  <c r="K42" i="21"/>
  <c r="J42" i="21"/>
  <c r="K28" i="21"/>
  <c r="L28" i="21"/>
  <c r="J28" i="21"/>
  <c r="K99" i="21"/>
  <c r="L99" i="21"/>
  <c r="J99" i="21"/>
  <c r="K67" i="21"/>
  <c r="L67" i="21"/>
  <c r="J67" i="21"/>
  <c r="K36" i="21"/>
  <c r="L36" i="21"/>
  <c r="J36" i="21"/>
  <c r="L82" i="21"/>
  <c r="K82" i="21"/>
  <c r="J82" i="21"/>
  <c r="L58" i="21"/>
  <c r="K58" i="21"/>
  <c r="J58" i="21"/>
  <c r="L32" i="21"/>
  <c r="K32" i="21"/>
  <c r="J32" i="21"/>
  <c r="L96" i="21"/>
  <c r="J96" i="21"/>
  <c r="K96" i="21"/>
  <c r="K86" i="21"/>
  <c r="L86" i="21"/>
  <c r="J86" i="21"/>
  <c r="K79" i="21"/>
  <c r="L79" i="21"/>
  <c r="J79" i="21"/>
  <c r="K77" i="21"/>
  <c r="L77" i="21"/>
  <c r="J77" i="21"/>
  <c r="K65" i="21"/>
  <c r="L65" i="21"/>
  <c r="J65" i="21"/>
  <c r="K57" i="21"/>
  <c r="L57" i="21"/>
  <c r="J57" i="21"/>
  <c r="K47" i="21"/>
  <c r="L47" i="21"/>
  <c r="J47" i="21"/>
  <c r="L40" i="21"/>
  <c r="K40" i="21"/>
  <c r="J40" i="21"/>
  <c r="K33" i="21"/>
  <c r="L33" i="21"/>
  <c r="J33" i="21"/>
  <c r="K87" i="21"/>
  <c r="L87" i="21"/>
  <c r="J87" i="21"/>
  <c r="L48" i="21"/>
  <c r="K48" i="21"/>
  <c r="J48" i="21"/>
  <c r="K84" i="21"/>
  <c r="L84" i="21"/>
  <c r="J84" i="21"/>
  <c r="L72" i="21"/>
  <c r="K72" i="21"/>
  <c r="J72" i="21"/>
  <c r="K49" i="21"/>
  <c r="L49" i="21"/>
  <c r="J49" i="21"/>
  <c r="K94" i="21"/>
  <c r="L94" i="21"/>
  <c r="J94" i="21"/>
  <c r="K89" i="21"/>
  <c r="L89" i="21"/>
  <c r="J89" i="21"/>
  <c r="K78" i="21"/>
  <c r="L78" i="21"/>
  <c r="J78" i="21"/>
  <c r="K71" i="21"/>
  <c r="L71" i="21"/>
  <c r="J71" i="21"/>
  <c r="K63" i="21"/>
  <c r="L63" i="21"/>
  <c r="J63" i="21"/>
  <c r="K55" i="21"/>
  <c r="J55" i="21"/>
  <c r="L55" i="21"/>
  <c r="K46" i="21"/>
  <c r="L46" i="21"/>
  <c r="J46" i="21"/>
  <c r="K38" i="21"/>
  <c r="L38" i="21"/>
  <c r="J38" i="21"/>
  <c r="K30" i="21"/>
  <c r="L30" i="21"/>
  <c r="J30" i="21"/>
  <c r="V217" i="20" l="1"/>
  <c r="H103" i="21"/>
  <c r="I102" i="21"/>
  <c r="M102" i="21" s="1"/>
  <c r="K101" i="21"/>
  <c r="L101" i="21"/>
  <c r="J101" i="21"/>
  <c r="A91" i="21"/>
  <c r="V218" i="20" l="1"/>
  <c r="V242" i="20"/>
  <c r="A92" i="21"/>
  <c r="K102" i="21"/>
  <c r="L102" i="21"/>
  <c r="J102" i="21"/>
  <c r="H104" i="21"/>
  <c r="I103" i="21"/>
  <c r="M103" i="21" s="1"/>
  <c r="V243" i="20" l="1"/>
  <c r="K103" i="21"/>
  <c r="L103" i="21"/>
  <c r="J103" i="21"/>
  <c r="H105" i="21"/>
  <c r="I104" i="21"/>
  <c r="M104" i="21" s="1"/>
  <c r="A93" i="21"/>
  <c r="V244" i="20" l="1"/>
  <c r="V249" i="20"/>
  <c r="L104" i="21"/>
  <c r="K104" i="21"/>
  <c r="J104" i="21"/>
  <c r="H106" i="21"/>
  <c r="I105" i="21"/>
  <c r="M105" i="21" s="1"/>
  <c r="A94" i="21"/>
  <c r="V250" i="20" l="1"/>
  <c r="V253" i="20"/>
  <c r="K105" i="21"/>
  <c r="L105" i="21"/>
  <c r="J105" i="21"/>
  <c r="H107" i="21"/>
  <c r="I106" i="21"/>
  <c r="M106" i="21" s="1"/>
  <c r="A95" i="21"/>
  <c r="V254" i="20" l="1"/>
  <c r="A96" i="21"/>
  <c r="L106" i="21"/>
  <c r="J106" i="21"/>
  <c r="K106" i="21"/>
  <c r="H108" i="21"/>
  <c r="I107" i="21"/>
  <c r="M107" i="21" s="1"/>
  <c r="V255" i="20" l="1"/>
  <c r="K107" i="21"/>
  <c r="L107" i="21"/>
  <c r="J107" i="21"/>
  <c r="H109" i="21"/>
  <c r="I108" i="21"/>
  <c r="M108" i="21" s="1"/>
  <c r="A97" i="21"/>
  <c r="V256" i="20" l="1"/>
  <c r="V266" i="20"/>
  <c r="K108" i="21"/>
  <c r="L108" i="21"/>
  <c r="J108" i="21"/>
  <c r="H110" i="21"/>
  <c r="I109" i="21"/>
  <c r="M109" i="21" s="1"/>
  <c r="A98" i="21"/>
  <c r="V267" i="20" l="1"/>
  <c r="V272" i="20"/>
  <c r="A99" i="21"/>
  <c r="K109" i="21"/>
  <c r="L109" i="21"/>
  <c r="J109" i="21"/>
  <c r="H111" i="21"/>
  <c r="I110" i="21"/>
  <c r="M110" i="21" s="1"/>
  <c r="V273" i="20" l="1"/>
  <c r="V295" i="20"/>
  <c r="K110" i="21"/>
  <c r="L110" i="21"/>
  <c r="J110" i="21"/>
  <c r="A100" i="21"/>
  <c r="H112" i="21"/>
  <c r="I111" i="21"/>
  <c r="M111" i="21" s="1"/>
  <c r="V296" i="20" l="1"/>
  <c r="K111" i="21"/>
  <c r="L111" i="21"/>
  <c r="J111" i="21"/>
  <c r="H113" i="21"/>
  <c r="I112" i="21"/>
  <c r="M112" i="21" s="1"/>
  <c r="A101" i="21"/>
  <c r="V297" i="20" l="1"/>
  <c r="V304" i="20"/>
  <c r="A102" i="21"/>
  <c r="L112" i="21"/>
  <c r="J112" i="21"/>
  <c r="K112" i="21"/>
  <c r="H114" i="21"/>
  <c r="I113" i="21"/>
  <c r="M113" i="21" s="1"/>
  <c r="V305" i="20" l="1"/>
  <c r="A103" i="21"/>
  <c r="K113" i="21"/>
  <c r="L113" i="21"/>
  <c r="J113" i="21"/>
  <c r="H115" i="21"/>
  <c r="I114" i="21"/>
  <c r="M114" i="21" s="1"/>
  <c r="V306" i="20" l="1"/>
  <c r="L114" i="21"/>
  <c r="K114" i="21"/>
  <c r="J114" i="21"/>
  <c r="H116" i="21"/>
  <c r="I115" i="21"/>
  <c r="M115" i="21" s="1"/>
  <c r="A104" i="21"/>
  <c r="V307" i="20" l="1"/>
  <c r="V309" i="20"/>
  <c r="K115" i="21"/>
  <c r="L115" i="21"/>
  <c r="J115" i="21"/>
  <c r="A105" i="21"/>
  <c r="H117" i="21"/>
  <c r="I116" i="21"/>
  <c r="M116" i="21" s="1"/>
  <c r="V310" i="20" l="1"/>
  <c r="H118" i="21"/>
  <c r="I117" i="21"/>
  <c r="M117" i="21" s="1"/>
  <c r="A106" i="21"/>
  <c r="K116" i="21"/>
  <c r="L116" i="21"/>
  <c r="J116" i="21"/>
  <c r="V311" i="20" l="1"/>
  <c r="H119" i="21"/>
  <c r="I118" i="21"/>
  <c r="M118" i="21" s="1"/>
  <c r="A107" i="21"/>
  <c r="K117" i="21"/>
  <c r="L117" i="21"/>
  <c r="J117" i="21"/>
  <c r="V312" i="20" l="1"/>
  <c r="A108" i="21"/>
  <c r="L118" i="21"/>
  <c r="K118" i="21"/>
  <c r="J118" i="21"/>
  <c r="H120" i="21"/>
  <c r="I119" i="21"/>
  <c r="M119" i="21" s="1"/>
  <c r="V313" i="20" l="1"/>
  <c r="V314" i="20"/>
  <c r="A109" i="21"/>
  <c r="K119" i="21"/>
  <c r="L119" i="21"/>
  <c r="J119" i="21"/>
  <c r="H121" i="21"/>
  <c r="I120" i="21"/>
  <c r="M120" i="21" s="1"/>
  <c r="V315" i="20" l="1"/>
  <c r="A110" i="21"/>
  <c r="H122" i="21"/>
  <c r="I121" i="21"/>
  <c r="M121" i="21" s="1"/>
  <c r="K120" i="21"/>
  <c r="J120" i="21"/>
  <c r="L120" i="21"/>
  <c r="V316" i="20" l="1"/>
  <c r="K121" i="21"/>
  <c r="L121" i="21"/>
  <c r="J121" i="21"/>
  <c r="H123" i="21"/>
  <c r="I122" i="21"/>
  <c r="M122" i="21" s="1"/>
  <c r="A111" i="21"/>
  <c r="V317" i="20" l="1"/>
  <c r="V319" i="20"/>
  <c r="L122" i="21"/>
  <c r="K122" i="21"/>
  <c r="J122" i="21"/>
  <c r="A112" i="21"/>
  <c r="H124" i="21"/>
  <c r="I123" i="21"/>
  <c r="M123" i="21" s="1"/>
  <c r="V320" i="20" l="1"/>
  <c r="L123" i="21"/>
  <c r="J123" i="21"/>
  <c r="K123" i="21"/>
  <c r="H125" i="21"/>
  <c r="I124" i="21"/>
  <c r="M124" i="21" s="1"/>
  <c r="A113" i="21"/>
  <c r="V321" i="20" l="1"/>
  <c r="V327" i="20"/>
  <c r="A114" i="21"/>
  <c r="K124" i="21"/>
  <c r="L124" i="21"/>
  <c r="J124" i="21"/>
  <c r="H126" i="21"/>
  <c r="I125" i="21"/>
  <c r="M125" i="21" s="1"/>
  <c r="V328" i="20" l="1"/>
  <c r="K125" i="21"/>
  <c r="L125" i="21"/>
  <c r="J125" i="21"/>
  <c r="A115" i="21"/>
  <c r="H127" i="21"/>
  <c r="I126" i="21"/>
  <c r="M126" i="21" s="1"/>
  <c r="V329" i="20" l="1"/>
  <c r="L126" i="21"/>
  <c r="K126" i="21"/>
  <c r="J126" i="21"/>
  <c r="H128" i="21"/>
  <c r="I127" i="21"/>
  <c r="M127" i="21" s="1"/>
  <c r="A116" i="21"/>
  <c r="V330" i="20" l="1"/>
  <c r="K127" i="21"/>
  <c r="L127" i="21"/>
  <c r="J127" i="21"/>
  <c r="H129" i="21"/>
  <c r="I128" i="21"/>
  <c r="M128" i="21" s="1"/>
  <c r="A117" i="21"/>
  <c r="V331" i="20" l="1"/>
  <c r="B117" i="21" s="1"/>
  <c r="F117" i="21" s="1"/>
  <c r="J128" i="21"/>
  <c r="K128" i="21"/>
  <c r="L128" i="21"/>
  <c r="H130" i="21"/>
  <c r="I129" i="21"/>
  <c r="M129" i="21" s="1"/>
  <c r="A118" i="21"/>
  <c r="B110" i="21" l="1"/>
  <c r="F110" i="21" s="1"/>
  <c r="B25" i="21"/>
  <c r="F25" i="21" s="1"/>
  <c r="B115" i="21"/>
  <c r="B38" i="21"/>
  <c r="B26" i="21"/>
  <c r="F26" i="21" s="1"/>
  <c r="B66" i="21"/>
  <c r="F66" i="21" s="1"/>
  <c r="B113" i="21"/>
  <c r="B84" i="21"/>
  <c r="F84" i="21" s="1"/>
  <c r="B50" i="21"/>
  <c r="B82" i="21"/>
  <c r="B27" i="21"/>
  <c r="B81" i="21"/>
  <c r="F81" i="21" s="1"/>
  <c r="B28" i="21"/>
  <c r="B107" i="21"/>
  <c r="F107" i="21" s="1"/>
  <c r="B47" i="21"/>
  <c r="B54" i="21"/>
  <c r="B96" i="21"/>
  <c r="B76" i="21"/>
  <c r="B69" i="21"/>
  <c r="B31" i="21"/>
  <c r="B93" i="21"/>
  <c r="B58" i="21"/>
  <c r="F58" i="21" s="1"/>
  <c r="B35" i="21"/>
  <c r="B106" i="21"/>
  <c r="B70" i="21"/>
  <c r="B71" i="21"/>
  <c r="B91" i="21"/>
  <c r="B68" i="21"/>
  <c r="F68" i="21" s="1"/>
  <c r="B95" i="21"/>
  <c r="B40" i="21"/>
  <c r="B78" i="21"/>
  <c r="B60" i="21"/>
  <c r="F60" i="21" s="1"/>
  <c r="B108" i="21"/>
  <c r="B34" i="21"/>
  <c r="B104" i="21"/>
  <c r="F104" i="21" s="1"/>
  <c r="B83" i="21"/>
  <c r="B98" i="21"/>
  <c r="B111" i="21"/>
  <c r="B39" i="21"/>
  <c r="B94" i="21"/>
  <c r="B61" i="21"/>
  <c r="F61" i="21" s="1"/>
  <c r="B32" i="21"/>
  <c r="B109" i="21"/>
  <c r="B86" i="21"/>
  <c r="B77" i="21"/>
  <c r="F77" i="21" s="1"/>
  <c r="B57" i="21"/>
  <c r="B29" i="21"/>
  <c r="F29" i="21" s="1"/>
  <c r="B56" i="21"/>
  <c r="B74" i="21"/>
  <c r="B67" i="21"/>
  <c r="B92" i="21"/>
  <c r="B46" i="21"/>
  <c r="B73" i="21"/>
  <c r="B30" i="21"/>
  <c r="B37" i="21"/>
  <c r="B75" i="21"/>
  <c r="F75" i="21" s="1"/>
  <c r="B85" i="21"/>
  <c r="B33" i="21"/>
  <c r="B72" i="21"/>
  <c r="B87" i="21"/>
  <c r="B100" i="21"/>
  <c r="B88" i="21"/>
  <c r="B55" i="21"/>
  <c r="F55" i="21" s="1"/>
  <c r="B62" i="21"/>
  <c r="B103" i="21"/>
  <c r="B97" i="21"/>
  <c r="B99" i="21"/>
  <c r="B52" i="21"/>
  <c r="F52" i="21" s="1"/>
  <c r="B43" i="21"/>
  <c r="F43" i="21" s="1"/>
  <c r="B105" i="21"/>
  <c r="F105" i="21" s="1"/>
  <c r="B45" i="21"/>
  <c r="B41" i="21"/>
  <c r="F41" i="21" s="1"/>
  <c r="B102" i="21"/>
  <c r="B59" i="21"/>
  <c r="B101" i="21"/>
  <c r="B36" i="21"/>
  <c r="F36" i="21" s="1"/>
  <c r="B90" i="21"/>
  <c r="B116" i="21"/>
  <c r="B44" i="21"/>
  <c r="B114" i="21"/>
  <c r="B79" i="21"/>
  <c r="B51" i="21"/>
  <c r="B80" i="21"/>
  <c r="B42" i="21"/>
  <c r="F42" i="21" s="1"/>
  <c r="B64" i="21"/>
  <c r="B53" i="21"/>
  <c r="B112" i="21"/>
  <c r="B63" i="21"/>
  <c r="B89" i="21"/>
  <c r="B49" i="21"/>
  <c r="B65" i="21"/>
  <c r="B48" i="21"/>
  <c r="F48" i="21" s="1"/>
  <c r="K129" i="21"/>
  <c r="L129" i="21"/>
  <c r="J129" i="21"/>
  <c r="H131" i="21"/>
  <c r="I130" i="21"/>
  <c r="M130" i="21" s="1"/>
  <c r="E117" i="21"/>
  <c r="D117" i="21"/>
  <c r="C117" i="21"/>
  <c r="A119" i="21"/>
  <c r="B118" i="21"/>
  <c r="F118" i="21" s="1"/>
  <c r="E110" i="21" l="1"/>
  <c r="C110" i="21"/>
  <c r="D110" i="21"/>
  <c r="E114" i="21"/>
  <c r="F114" i="21"/>
  <c r="D44" i="21"/>
  <c r="F44" i="21"/>
  <c r="C72" i="21"/>
  <c r="F72" i="21"/>
  <c r="E39" i="21"/>
  <c r="F39" i="21"/>
  <c r="E69" i="21"/>
  <c r="F69" i="21"/>
  <c r="D111" i="21"/>
  <c r="F111" i="21"/>
  <c r="D76" i="21"/>
  <c r="F76" i="21"/>
  <c r="D85" i="21"/>
  <c r="F85" i="21"/>
  <c r="D98" i="21"/>
  <c r="F98" i="21"/>
  <c r="D96" i="21"/>
  <c r="F96" i="21"/>
  <c r="D83" i="21"/>
  <c r="F83" i="21"/>
  <c r="E54" i="21"/>
  <c r="F54" i="21"/>
  <c r="C116" i="21"/>
  <c r="F116" i="21"/>
  <c r="D47" i="21"/>
  <c r="F47" i="21"/>
  <c r="D30" i="21"/>
  <c r="F30" i="21"/>
  <c r="E34" i="21"/>
  <c r="F34" i="21"/>
  <c r="C102" i="21"/>
  <c r="F102" i="21"/>
  <c r="E73" i="21"/>
  <c r="F73" i="21"/>
  <c r="C108" i="21"/>
  <c r="F108" i="21"/>
  <c r="E28" i="21"/>
  <c r="F28" i="21"/>
  <c r="E31" i="21"/>
  <c r="F31" i="21"/>
  <c r="D37" i="21"/>
  <c r="F37" i="21"/>
  <c r="C90" i="21"/>
  <c r="F90" i="21"/>
  <c r="D67" i="21"/>
  <c r="F67" i="21"/>
  <c r="C40" i="21"/>
  <c r="F40" i="21"/>
  <c r="C82" i="21"/>
  <c r="F82" i="21"/>
  <c r="E95" i="21"/>
  <c r="F95" i="21"/>
  <c r="E50" i="21"/>
  <c r="F50" i="21"/>
  <c r="C78" i="21"/>
  <c r="F78" i="21"/>
  <c r="E113" i="21"/>
  <c r="F113" i="21"/>
  <c r="C65" i="21"/>
  <c r="F65" i="21"/>
  <c r="C112" i="21"/>
  <c r="F112" i="21"/>
  <c r="C71" i="21"/>
  <c r="F71" i="21"/>
  <c r="C101" i="21"/>
  <c r="F101" i="21"/>
  <c r="C46" i="21"/>
  <c r="F46" i="21"/>
  <c r="E56" i="21"/>
  <c r="F56" i="21"/>
  <c r="E103" i="21"/>
  <c r="F103" i="21"/>
  <c r="D70" i="21"/>
  <c r="F70" i="21"/>
  <c r="D87" i="21"/>
  <c r="F87" i="21"/>
  <c r="D59" i="21"/>
  <c r="F59" i="21"/>
  <c r="C45" i="21"/>
  <c r="F45" i="21"/>
  <c r="C49" i="21"/>
  <c r="F49" i="21"/>
  <c r="C99" i="21"/>
  <c r="F99" i="21"/>
  <c r="D97" i="21"/>
  <c r="F97" i="21"/>
  <c r="C64" i="21"/>
  <c r="F64" i="21"/>
  <c r="C62" i="21"/>
  <c r="F62" i="21"/>
  <c r="C86" i="21"/>
  <c r="F86" i="21"/>
  <c r="E106" i="21"/>
  <c r="F106" i="21"/>
  <c r="C38" i="21"/>
  <c r="F38" i="21"/>
  <c r="D89" i="21"/>
  <c r="F89" i="21"/>
  <c r="E63" i="21"/>
  <c r="F63" i="21"/>
  <c r="E91" i="21"/>
  <c r="F91" i="21"/>
  <c r="E57" i="21"/>
  <c r="F57" i="21"/>
  <c r="D80" i="21"/>
  <c r="F80" i="21"/>
  <c r="D109" i="21"/>
  <c r="F109" i="21"/>
  <c r="D35" i="21"/>
  <c r="F35" i="21"/>
  <c r="E115" i="21"/>
  <c r="F115" i="21"/>
  <c r="C33" i="21"/>
  <c r="F33" i="21"/>
  <c r="E92" i="21"/>
  <c r="F92" i="21"/>
  <c r="C74" i="21"/>
  <c r="F74" i="21"/>
  <c r="E53" i="21"/>
  <c r="F53" i="21"/>
  <c r="D51" i="21"/>
  <c r="F51" i="21"/>
  <c r="D88" i="21"/>
  <c r="F88" i="21"/>
  <c r="E32" i="21"/>
  <c r="F32" i="21"/>
  <c r="E94" i="21"/>
  <c r="F94" i="21"/>
  <c r="E27" i="21"/>
  <c r="F27" i="21"/>
  <c r="E79" i="21"/>
  <c r="F79" i="21"/>
  <c r="E100" i="21"/>
  <c r="F100" i="21"/>
  <c r="E93" i="21"/>
  <c r="F93" i="21"/>
  <c r="E38" i="21"/>
  <c r="D38" i="21"/>
  <c r="E26" i="21"/>
  <c r="C26" i="21"/>
  <c r="D26" i="21"/>
  <c r="D25" i="21"/>
  <c r="C25" i="21"/>
  <c r="E25" i="21"/>
  <c r="D66" i="21"/>
  <c r="C115" i="21"/>
  <c r="D115" i="21"/>
  <c r="E66" i="21"/>
  <c r="C66" i="21"/>
  <c r="D84" i="21"/>
  <c r="E84" i="21"/>
  <c r="C84" i="21"/>
  <c r="D50" i="21"/>
  <c r="C50" i="21"/>
  <c r="D82" i="21"/>
  <c r="E82" i="21"/>
  <c r="C113" i="21"/>
  <c r="D113" i="21"/>
  <c r="D107" i="21"/>
  <c r="E81" i="21"/>
  <c r="C27" i="21"/>
  <c r="D81" i="21"/>
  <c r="C81" i="21"/>
  <c r="C28" i="21"/>
  <c r="D28" i="21"/>
  <c r="D27" i="21"/>
  <c r="D91" i="21"/>
  <c r="C91" i="21"/>
  <c r="C31" i="21"/>
  <c r="D31" i="21"/>
  <c r="E58" i="21"/>
  <c r="C93" i="21"/>
  <c r="E68" i="21"/>
  <c r="D93" i="21"/>
  <c r="C58" i="21"/>
  <c r="D95" i="21"/>
  <c r="C95" i="21"/>
  <c r="C69" i="21"/>
  <c r="D69" i="21"/>
  <c r="D68" i="21"/>
  <c r="C68" i="21"/>
  <c r="D40" i="21"/>
  <c r="C85" i="21"/>
  <c r="E78" i="21"/>
  <c r="E29" i="21"/>
  <c r="E35" i="21"/>
  <c r="E107" i="21"/>
  <c r="C96" i="21"/>
  <c r="C107" i="21"/>
  <c r="E40" i="21"/>
  <c r="C61" i="21"/>
  <c r="E96" i="21"/>
  <c r="D74" i="21"/>
  <c r="E74" i="21"/>
  <c r="D58" i="21"/>
  <c r="E37" i="21"/>
  <c r="D29" i="21"/>
  <c r="C39" i="21"/>
  <c r="C35" i="21"/>
  <c r="C47" i="21"/>
  <c r="E47" i="21"/>
  <c r="E108" i="21"/>
  <c r="D61" i="21"/>
  <c r="E85" i="21"/>
  <c r="D103" i="21"/>
  <c r="E61" i="21"/>
  <c r="D108" i="21"/>
  <c r="E70" i="21"/>
  <c r="C70" i="21"/>
  <c r="C103" i="21"/>
  <c r="D71" i="21"/>
  <c r="E76" i="21"/>
  <c r="E71" i="21"/>
  <c r="C76" i="21"/>
  <c r="D106" i="21"/>
  <c r="C106" i="21"/>
  <c r="D54" i="21"/>
  <c r="C54" i="21"/>
  <c r="D60" i="21"/>
  <c r="D34" i="21"/>
  <c r="D56" i="21"/>
  <c r="D78" i="21"/>
  <c r="C29" i="21"/>
  <c r="E60" i="21"/>
  <c r="E44" i="21"/>
  <c r="C60" i="21"/>
  <c r="D39" i="21"/>
  <c r="C55" i="21"/>
  <c r="C34" i="21"/>
  <c r="E97" i="21"/>
  <c r="E59" i="21"/>
  <c r="E104" i="21"/>
  <c r="E83" i="21"/>
  <c r="C104" i="21"/>
  <c r="E67" i="21"/>
  <c r="C83" i="21"/>
  <c r="C67" i="21"/>
  <c r="D104" i="21"/>
  <c r="E109" i="21"/>
  <c r="C109" i="21"/>
  <c r="D92" i="21"/>
  <c r="E98" i="21"/>
  <c r="D77" i="21"/>
  <c r="C98" i="21"/>
  <c r="D57" i="21"/>
  <c r="C88" i="21"/>
  <c r="D73" i="21"/>
  <c r="C57" i="21"/>
  <c r="C77" i="21"/>
  <c r="E111" i="21"/>
  <c r="E105" i="21"/>
  <c r="E77" i="21"/>
  <c r="E88" i="21"/>
  <c r="E30" i="21"/>
  <c r="D105" i="21"/>
  <c r="C105" i="21"/>
  <c r="C30" i="21"/>
  <c r="C111" i="21"/>
  <c r="C73" i="21"/>
  <c r="E116" i="21"/>
  <c r="C56" i="21"/>
  <c r="C94" i="21"/>
  <c r="D94" i="21"/>
  <c r="D32" i="21"/>
  <c r="D33" i="21"/>
  <c r="C59" i="21"/>
  <c r="C51" i="21"/>
  <c r="C97" i="21"/>
  <c r="C32" i="21"/>
  <c r="E33" i="21"/>
  <c r="C52" i="21"/>
  <c r="E46" i="21"/>
  <c r="E86" i="21"/>
  <c r="C92" i="21"/>
  <c r="D52" i="21"/>
  <c r="C87" i="21"/>
  <c r="D36" i="21"/>
  <c r="D86" i="21"/>
  <c r="E52" i="21"/>
  <c r="E87" i="21"/>
  <c r="E36" i="21"/>
  <c r="D46" i="21"/>
  <c r="C36" i="21"/>
  <c r="D99" i="21"/>
  <c r="C37" i="21"/>
  <c r="D55" i="21"/>
  <c r="E55" i="21"/>
  <c r="D45" i="21"/>
  <c r="D116" i="21"/>
  <c r="C75" i="21"/>
  <c r="E75" i="21"/>
  <c r="D75" i="21"/>
  <c r="E72" i="21"/>
  <c r="D72" i="21"/>
  <c r="E99" i="21"/>
  <c r="E43" i="21"/>
  <c r="D43" i="21"/>
  <c r="C43" i="21"/>
  <c r="D100" i="21"/>
  <c r="C100" i="21"/>
  <c r="E62" i="21"/>
  <c r="D62" i="21"/>
  <c r="C41" i="21"/>
  <c r="D41" i="21"/>
  <c r="E41" i="21"/>
  <c r="C44" i="21"/>
  <c r="E45" i="21"/>
  <c r="D102" i="21"/>
  <c r="E102" i="21"/>
  <c r="E112" i="21"/>
  <c r="D101" i="21"/>
  <c r="E101" i="21"/>
  <c r="D64" i="21"/>
  <c r="E90" i="21"/>
  <c r="D90" i="21"/>
  <c r="E64" i="21"/>
  <c r="C53" i="21"/>
  <c r="D53" i="21"/>
  <c r="D114" i="21"/>
  <c r="C114" i="21"/>
  <c r="D63" i="21"/>
  <c r="D79" i="21"/>
  <c r="C79" i="21"/>
  <c r="E51" i="21"/>
  <c r="C63" i="21"/>
  <c r="D112" i="21"/>
  <c r="C89" i="21"/>
  <c r="E89" i="21"/>
  <c r="C42" i="21"/>
  <c r="D42" i="21"/>
  <c r="E42" i="21"/>
  <c r="E80" i="21"/>
  <c r="C80" i="21"/>
  <c r="E65" i="21"/>
  <c r="E49" i="21"/>
  <c r="D49" i="21"/>
  <c r="D65" i="21"/>
  <c r="E48" i="21"/>
  <c r="C48" i="21"/>
  <c r="D48" i="21"/>
  <c r="C118" i="21"/>
  <c r="D118" i="21"/>
  <c r="E118" i="21"/>
  <c r="A120" i="21"/>
  <c r="B119" i="21"/>
  <c r="F119" i="21" s="1"/>
  <c r="L130" i="21"/>
  <c r="K130" i="21"/>
  <c r="J130" i="21"/>
  <c r="H132" i="21"/>
  <c r="I131" i="21"/>
  <c r="M131" i="21" s="1"/>
  <c r="E119" i="21" l="1"/>
  <c r="C119" i="21"/>
  <c r="D119" i="21"/>
  <c r="A121" i="21"/>
  <c r="B120" i="21"/>
  <c r="F120" i="21" s="1"/>
  <c r="L131" i="21"/>
  <c r="J131" i="21"/>
  <c r="K131" i="21"/>
  <c r="H133" i="21"/>
  <c r="I132" i="21"/>
  <c r="M132" i="21" s="1"/>
  <c r="C120" i="21" l="1"/>
  <c r="D120" i="21"/>
  <c r="E120" i="21"/>
  <c r="B121" i="21"/>
  <c r="F121" i="21" s="1"/>
  <c r="A122" i="21"/>
  <c r="K132" i="21"/>
  <c r="L132" i="21"/>
  <c r="J132" i="21"/>
  <c r="H134" i="21"/>
  <c r="I133" i="21"/>
  <c r="M133" i="21" s="1"/>
  <c r="A123" i="21" l="1"/>
  <c r="B122" i="21"/>
  <c r="F122" i="21" s="1"/>
  <c r="E121" i="21"/>
  <c r="D121" i="21"/>
  <c r="C121" i="21"/>
  <c r="H135" i="21"/>
  <c r="I134" i="21"/>
  <c r="M134" i="21" s="1"/>
  <c r="K133" i="21"/>
  <c r="L133" i="21"/>
  <c r="J133" i="21"/>
  <c r="L134" i="21" l="1"/>
  <c r="K134" i="21"/>
  <c r="J134" i="21"/>
  <c r="H136" i="21"/>
  <c r="I135" i="21"/>
  <c r="M135" i="21" s="1"/>
  <c r="C122" i="21"/>
  <c r="D122" i="21"/>
  <c r="E122" i="21"/>
  <c r="A124" i="21"/>
  <c r="B123" i="21"/>
  <c r="F123" i="21" s="1"/>
  <c r="K135" i="21" l="1"/>
  <c r="L135" i="21"/>
  <c r="J135" i="21"/>
  <c r="H137" i="21"/>
  <c r="I136" i="21"/>
  <c r="M136" i="21" s="1"/>
  <c r="E123" i="21"/>
  <c r="C123" i="21"/>
  <c r="D123" i="21"/>
  <c r="A125" i="21"/>
  <c r="B124" i="21"/>
  <c r="F124" i="21" s="1"/>
  <c r="H138" i="21" l="1"/>
  <c r="I137" i="21"/>
  <c r="M137" i="21" s="1"/>
  <c r="K136" i="21"/>
  <c r="J136" i="21"/>
  <c r="L136" i="21"/>
  <c r="A126" i="21"/>
  <c r="B125" i="21"/>
  <c r="F125" i="21" s="1"/>
  <c r="C124" i="21"/>
  <c r="D124" i="21"/>
  <c r="E124" i="21"/>
  <c r="H139" i="21" l="1"/>
  <c r="I138" i="21"/>
  <c r="M138" i="21" s="1"/>
  <c r="A127" i="21"/>
  <c r="B126" i="21"/>
  <c r="F126" i="21" s="1"/>
  <c r="E125" i="21"/>
  <c r="C125" i="21"/>
  <c r="D125" i="21"/>
  <c r="K137" i="21"/>
  <c r="L137" i="21"/>
  <c r="J137" i="21"/>
  <c r="C126" i="21" l="1"/>
  <c r="D126" i="21"/>
  <c r="E126" i="21"/>
  <c r="B127" i="21"/>
  <c r="F127" i="21" s="1"/>
  <c r="A128" i="21"/>
  <c r="L138" i="21"/>
  <c r="K138" i="21"/>
  <c r="J138" i="21"/>
  <c r="H140" i="21"/>
  <c r="I139" i="21"/>
  <c r="M139" i="21" s="1"/>
  <c r="A129" i="21" l="1"/>
  <c r="B128" i="21"/>
  <c r="F128" i="21" s="1"/>
  <c r="E127" i="21"/>
  <c r="C127" i="21"/>
  <c r="D127" i="21"/>
  <c r="K139" i="21"/>
  <c r="J139" i="21"/>
  <c r="L139" i="21"/>
  <c r="H141" i="21"/>
  <c r="I140" i="21"/>
  <c r="M140" i="21" s="1"/>
  <c r="K140" i="21" l="1"/>
  <c r="L140" i="21"/>
  <c r="J140" i="21"/>
  <c r="H142" i="21"/>
  <c r="I141" i="21"/>
  <c r="M141" i="21" s="1"/>
  <c r="C128" i="21"/>
  <c r="D128" i="21"/>
  <c r="E128" i="21"/>
  <c r="A130" i="21"/>
  <c r="B129" i="21"/>
  <c r="F129" i="21" s="1"/>
  <c r="K141" i="21" l="1"/>
  <c r="L141" i="21"/>
  <c r="J141" i="21"/>
  <c r="H143" i="21"/>
  <c r="I142" i="21"/>
  <c r="M142" i="21" s="1"/>
  <c r="E129" i="21"/>
  <c r="D129" i="21"/>
  <c r="C129" i="21"/>
  <c r="A131" i="21"/>
  <c r="B130" i="21"/>
  <c r="F130" i="21" s="1"/>
  <c r="L142" i="21" l="1"/>
  <c r="K142" i="21"/>
  <c r="J142" i="21"/>
  <c r="H144" i="21"/>
  <c r="I143" i="21"/>
  <c r="M143" i="21" s="1"/>
  <c r="C130" i="21"/>
  <c r="D130" i="21"/>
  <c r="E130" i="21"/>
  <c r="A132" i="21"/>
  <c r="B131" i="21"/>
  <c r="F131" i="21" s="1"/>
  <c r="K143" i="21" l="1"/>
  <c r="L143" i="21"/>
  <c r="J143" i="21"/>
  <c r="H145" i="21"/>
  <c r="I144" i="21"/>
  <c r="M144" i="21" s="1"/>
  <c r="E131" i="21"/>
  <c r="C131" i="21"/>
  <c r="D131" i="21"/>
  <c r="A133" i="21"/>
  <c r="B132" i="21"/>
  <c r="F132" i="21" s="1"/>
  <c r="J144" i="21" l="1"/>
  <c r="K144" i="21"/>
  <c r="L144" i="21"/>
  <c r="H146" i="21"/>
  <c r="I145" i="21"/>
  <c r="M145" i="21" s="1"/>
  <c r="C132" i="21"/>
  <c r="D132" i="21"/>
  <c r="E132" i="21"/>
  <c r="A134" i="21"/>
  <c r="B133" i="21"/>
  <c r="F133" i="21" s="1"/>
  <c r="K145" i="21" l="1"/>
  <c r="L145" i="21"/>
  <c r="J145" i="21"/>
  <c r="H147" i="21"/>
  <c r="I146" i="21"/>
  <c r="M146" i="21" s="1"/>
  <c r="E133" i="21"/>
  <c r="C133" i="21"/>
  <c r="D133" i="21"/>
  <c r="B134" i="21"/>
  <c r="F134" i="21" s="1"/>
  <c r="A135" i="21"/>
  <c r="L146" i="21" l="1"/>
  <c r="K146" i="21"/>
  <c r="J146" i="21"/>
  <c r="H148" i="21"/>
  <c r="I147" i="21"/>
  <c r="M147" i="21" s="1"/>
  <c r="B135" i="21"/>
  <c r="F135" i="21" s="1"/>
  <c r="A136" i="21"/>
  <c r="C134" i="21"/>
  <c r="D134" i="21"/>
  <c r="E134" i="21"/>
  <c r="L147" i="21" l="1"/>
  <c r="K147" i="21"/>
  <c r="J147" i="21"/>
  <c r="A137" i="21"/>
  <c r="B136" i="21"/>
  <c r="F136" i="21" s="1"/>
  <c r="E135" i="21"/>
  <c r="C135" i="21"/>
  <c r="D135" i="21"/>
  <c r="H149" i="21"/>
  <c r="I148" i="21"/>
  <c r="M148" i="21" s="1"/>
  <c r="C136" i="21" l="1"/>
  <c r="D136" i="21"/>
  <c r="E136" i="21"/>
  <c r="A138" i="21"/>
  <c r="B137" i="21"/>
  <c r="F137" i="21" s="1"/>
  <c r="K148" i="21"/>
  <c r="L148" i="21"/>
  <c r="J148" i="21"/>
  <c r="H150" i="21"/>
  <c r="I149" i="21"/>
  <c r="M149" i="21" s="1"/>
  <c r="E137" i="21" l="1"/>
  <c r="D137" i="21"/>
  <c r="C137" i="21"/>
  <c r="A139" i="21"/>
  <c r="B138" i="21"/>
  <c r="F138" i="21" s="1"/>
  <c r="K149" i="21"/>
  <c r="L149" i="21"/>
  <c r="J149" i="21"/>
  <c r="H151" i="21"/>
  <c r="I150" i="21"/>
  <c r="M150" i="21" s="1"/>
  <c r="A140" i="21" l="1"/>
  <c r="B139" i="21"/>
  <c r="F139" i="21" s="1"/>
  <c r="L150" i="21"/>
  <c r="K150" i="21"/>
  <c r="J150" i="21"/>
  <c r="C138" i="21"/>
  <c r="D138" i="21"/>
  <c r="E138" i="21"/>
  <c r="H152" i="21"/>
  <c r="I151" i="21"/>
  <c r="M151" i="21" s="1"/>
  <c r="K151" i="21" l="1"/>
  <c r="L151" i="21"/>
  <c r="J151" i="21"/>
  <c r="H153" i="21"/>
  <c r="I152" i="21"/>
  <c r="M152" i="21" s="1"/>
  <c r="E139" i="21"/>
  <c r="C139" i="21"/>
  <c r="D139" i="21"/>
  <c r="A141" i="21"/>
  <c r="B140" i="21"/>
  <c r="F140" i="21" s="1"/>
  <c r="K152" i="21" l="1"/>
  <c r="J152" i="21"/>
  <c r="L152" i="21"/>
  <c r="H154" i="21"/>
  <c r="I153" i="21"/>
  <c r="M153" i="21" s="1"/>
  <c r="C140" i="21"/>
  <c r="D140" i="21"/>
  <c r="E140" i="21"/>
  <c r="A142" i="21"/>
  <c r="B141" i="21"/>
  <c r="F141" i="21" s="1"/>
  <c r="K153" i="21" l="1"/>
  <c r="L153" i="21"/>
  <c r="J153" i="21"/>
  <c r="H155" i="21"/>
  <c r="I154" i="21"/>
  <c r="M154" i="21" s="1"/>
  <c r="E141" i="21"/>
  <c r="C141" i="21"/>
  <c r="D141" i="21"/>
  <c r="A143" i="21"/>
  <c r="B142" i="21"/>
  <c r="F142" i="21" s="1"/>
  <c r="L154" i="21" l="1"/>
  <c r="K154" i="21"/>
  <c r="J154" i="21"/>
  <c r="H156" i="21"/>
  <c r="I155" i="21"/>
  <c r="M155" i="21" s="1"/>
  <c r="C142" i="21"/>
  <c r="D142" i="21"/>
  <c r="E142" i="21"/>
  <c r="A144" i="21"/>
  <c r="B143" i="21"/>
  <c r="F143" i="21" s="1"/>
  <c r="L155" i="21" l="1"/>
  <c r="J155" i="21"/>
  <c r="K155" i="21"/>
  <c r="H157" i="21"/>
  <c r="I156" i="21"/>
  <c r="M156" i="21" s="1"/>
  <c r="E143" i="21"/>
  <c r="C143" i="21"/>
  <c r="D143" i="21"/>
  <c r="B144" i="21"/>
  <c r="F144" i="21" s="1"/>
  <c r="A145" i="21"/>
  <c r="K156" i="21" l="1"/>
  <c r="L156" i="21"/>
  <c r="J156" i="21"/>
  <c r="H158" i="21"/>
  <c r="I157" i="21"/>
  <c r="M157" i="21" s="1"/>
  <c r="B145" i="21"/>
  <c r="F145" i="21" s="1"/>
  <c r="A146" i="21"/>
  <c r="C144" i="21"/>
  <c r="D144" i="21"/>
  <c r="E144" i="21"/>
  <c r="E145" i="21" l="1"/>
  <c r="D145" i="21"/>
  <c r="C145" i="21"/>
  <c r="A147" i="21"/>
  <c r="B146" i="21"/>
  <c r="F146" i="21" s="1"/>
  <c r="K157" i="21"/>
  <c r="L157" i="21"/>
  <c r="J157" i="21"/>
  <c r="H159" i="21"/>
  <c r="I158" i="21"/>
  <c r="M158" i="21" s="1"/>
  <c r="C146" i="21" l="1"/>
  <c r="D146" i="21"/>
  <c r="E146" i="21"/>
  <c r="B147" i="21"/>
  <c r="F147" i="21" s="1"/>
  <c r="A148" i="21"/>
  <c r="L158" i="21"/>
  <c r="K158" i="21"/>
  <c r="J158" i="21"/>
  <c r="H160" i="21"/>
  <c r="I159" i="21"/>
  <c r="M159" i="21" s="1"/>
  <c r="B148" i="21" l="1"/>
  <c r="F148" i="21" s="1"/>
  <c r="A149" i="21"/>
  <c r="H161" i="21"/>
  <c r="I160" i="21"/>
  <c r="M160" i="21" s="1"/>
  <c r="E147" i="21"/>
  <c r="C147" i="21"/>
  <c r="D147" i="21"/>
  <c r="K159" i="21"/>
  <c r="L159" i="21"/>
  <c r="J159" i="21"/>
  <c r="J160" i="21" l="1"/>
  <c r="K160" i="21"/>
  <c r="L160" i="21"/>
  <c r="H162" i="21"/>
  <c r="I161" i="21"/>
  <c r="M161" i="21" s="1"/>
  <c r="B149" i="21"/>
  <c r="F149" i="21" s="1"/>
  <c r="A150" i="21"/>
  <c r="C148" i="21"/>
  <c r="D148" i="21"/>
  <c r="E148" i="21"/>
  <c r="E149" i="21" l="1"/>
  <c r="D149" i="21"/>
  <c r="C149" i="21"/>
  <c r="K161" i="21"/>
  <c r="L161" i="21"/>
  <c r="J161" i="21"/>
  <c r="H163" i="21"/>
  <c r="I162" i="21"/>
  <c r="M162" i="21" s="1"/>
  <c r="A151" i="21"/>
  <c r="B150" i="21"/>
  <c r="F150" i="21" s="1"/>
  <c r="C150" i="21" l="1"/>
  <c r="D150" i="21"/>
  <c r="E150" i="21"/>
  <c r="A152" i="21"/>
  <c r="B151" i="21"/>
  <c r="F151" i="21" s="1"/>
  <c r="L162" i="21"/>
  <c r="K162" i="21"/>
  <c r="J162" i="21"/>
  <c r="H164" i="21"/>
  <c r="I163" i="21"/>
  <c r="M163" i="21" s="1"/>
  <c r="E151" i="21" l="1"/>
  <c r="C151" i="21"/>
  <c r="D151" i="21"/>
  <c r="A153" i="21"/>
  <c r="B152" i="21"/>
  <c r="F152" i="21" s="1"/>
  <c r="L163" i="21"/>
  <c r="J163" i="21"/>
  <c r="K163" i="21"/>
  <c r="H165" i="21"/>
  <c r="I164" i="21"/>
  <c r="M164" i="21" s="1"/>
  <c r="K164" i="21" l="1"/>
  <c r="L164" i="21"/>
  <c r="J164" i="21"/>
  <c r="C152" i="21"/>
  <c r="D152" i="21"/>
  <c r="E152" i="21"/>
  <c r="A154" i="21"/>
  <c r="B153" i="21"/>
  <c r="F153" i="21" s="1"/>
  <c r="H166" i="21"/>
  <c r="I165" i="21"/>
  <c r="M165" i="21" s="1"/>
  <c r="K165" i="21" l="1"/>
  <c r="L165" i="21"/>
  <c r="J165" i="21"/>
  <c r="H167" i="21"/>
  <c r="I166" i="21"/>
  <c r="M166" i="21" s="1"/>
  <c r="E153" i="21"/>
  <c r="D153" i="21"/>
  <c r="C153" i="21"/>
  <c r="B154" i="21"/>
  <c r="F154" i="21" s="1"/>
  <c r="A155" i="21"/>
  <c r="L166" i="21" l="1"/>
  <c r="K166" i="21"/>
  <c r="J166" i="21"/>
  <c r="H168" i="21"/>
  <c r="I167" i="21"/>
  <c r="M167" i="21" s="1"/>
  <c r="B155" i="21"/>
  <c r="F155" i="21" s="1"/>
  <c r="A156" i="21"/>
  <c r="C154" i="21"/>
  <c r="D154" i="21"/>
  <c r="E154" i="21"/>
  <c r="E155" i="21" l="1"/>
  <c r="C155" i="21"/>
  <c r="D155" i="21"/>
  <c r="A157" i="21"/>
  <c r="B156" i="21"/>
  <c r="F156" i="21" s="1"/>
  <c r="K167" i="21"/>
  <c r="L167" i="21"/>
  <c r="J167" i="21"/>
  <c r="H169" i="21"/>
  <c r="I168" i="21"/>
  <c r="M168" i="21" s="1"/>
  <c r="C156" i="21" l="1"/>
  <c r="D156" i="21"/>
  <c r="E156" i="21"/>
  <c r="A158" i="21"/>
  <c r="B157" i="21"/>
  <c r="F157" i="21" s="1"/>
  <c r="K168" i="21"/>
  <c r="J168" i="21"/>
  <c r="L168" i="21"/>
  <c r="H170" i="21"/>
  <c r="I169" i="21"/>
  <c r="M169" i="21" s="1"/>
  <c r="E157" i="21" l="1"/>
  <c r="C157" i="21"/>
  <c r="D157" i="21"/>
  <c r="B158" i="21"/>
  <c r="F158" i="21" s="1"/>
  <c r="A159" i="21"/>
  <c r="K169" i="21"/>
  <c r="L169" i="21"/>
  <c r="J169" i="21"/>
  <c r="H171" i="21"/>
  <c r="I170" i="21"/>
  <c r="M170" i="21" s="1"/>
  <c r="A160" i="21" l="1"/>
  <c r="B159" i="21"/>
  <c r="F159" i="21" s="1"/>
  <c r="C158" i="21"/>
  <c r="D158" i="21"/>
  <c r="E158" i="21"/>
  <c r="L170" i="21"/>
  <c r="K170" i="21"/>
  <c r="J170" i="21"/>
  <c r="H172" i="21"/>
  <c r="I171" i="21"/>
  <c r="M171" i="21" s="1"/>
  <c r="K171" i="21" l="1"/>
  <c r="J171" i="21"/>
  <c r="L171" i="21"/>
  <c r="H173" i="21"/>
  <c r="I172" i="21"/>
  <c r="M172" i="21" s="1"/>
  <c r="E159" i="21"/>
  <c r="C159" i="21"/>
  <c r="D159" i="21"/>
  <c r="B160" i="21"/>
  <c r="F160" i="21" s="1"/>
  <c r="A161" i="21"/>
  <c r="K172" i="21" l="1"/>
  <c r="L172" i="21"/>
  <c r="J172" i="21"/>
  <c r="H174" i="21"/>
  <c r="I173" i="21"/>
  <c r="M173" i="21" s="1"/>
  <c r="A162" i="21"/>
  <c r="B161" i="21"/>
  <c r="F161" i="21" s="1"/>
  <c r="C160" i="21"/>
  <c r="D160" i="21"/>
  <c r="E160" i="21"/>
  <c r="K173" i="21" l="1"/>
  <c r="L173" i="21"/>
  <c r="J173" i="21"/>
  <c r="E161" i="21"/>
  <c r="D161" i="21"/>
  <c r="C161" i="21"/>
  <c r="A163" i="21"/>
  <c r="B162" i="21"/>
  <c r="F162" i="21" s="1"/>
  <c r="H175" i="21"/>
  <c r="I174" i="21"/>
  <c r="M174" i="21" s="1"/>
  <c r="L174" i="21" l="1"/>
  <c r="K174" i="21"/>
  <c r="J174" i="21"/>
  <c r="H176" i="21"/>
  <c r="I175" i="21"/>
  <c r="M175" i="21" s="1"/>
  <c r="C162" i="21"/>
  <c r="D162" i="21"/>
  <c r="E162" i="21"/>
  <c r="B163" i="21"/>
  <c r="F163" i="21" s="1"/>
  <c r="A164" i="21"/>
  <c r="K175" i="21" l="1"/>
  <c r="L175" i="21"/>
  <c r="J175" i="21"/>
  <c r="H177" i="21"/>
  <c r="I176" i="21"/>
  <c r="M176" i="21" s="1"/>
  <c r="A165" i="21"/>
  <c r="B164" i="21"/>
  <c r="F164" i="21" s="1"/>
  <c r="E163" i="21"/>
  <c r="C163" i="21"/>
  <c r="D163" i="21"/>
  <c r="J176" i="21" l="1"/>
  <c r="K176" i="21"/>
  <c r="L176" i="21"/>
  <c r="C164" i="21"/>
  <c r="D164" i="21"/>
  <c r="E164" i="21"/>
  <c r="B165" i="21"/>
  <c r="F165" i="21" s="1"/>
  <c r="A166" i="21"/>
  <c r="H178" i="21"/>
  <c r="I177" i="21"/>
  <c r="M177" i="21" s="1"/>
  <c r="K177" i="21" l="1"/>
  <c r="L177" i="21"/>
  <c r="J177" i="21"/>
  <c r="H179" i="21"/>
  <c r="I178" i="21"/>
  <c r="M178" i="21" s="1"/>
  <c r="B166" i="21"/>
  <c r="F166" i="21" s="1"/>
  <c r="A167" i="21"/>
  <c r="E165" i="21"/>
  <c r="C165" i="21"/>
  <c r="D165" i="21"/>
  <c r="A168" i="21" l="1"/>
  <c r="B167" i="21"/>
  <c r="F167" i="21" s="1"/>
  <c r="L178" i="21"/>
  <c r="K178" i="21"/>
  <c r="J178" i="21"/>
  <c r="C166" i="21"/>
  <c r="D166" i="21"/>
  <c r="E166" i="21"/>
  <c r="H180" i="21"/>
  <c r="I179" i="21"/>
  <c r="M179" i="21" s="1"/>
  <c r="L179" i="21" l="1"/>
  <c r="K179" i="21"/>
  <c r="J179" i="21"/>
  <c r="H181" i="21"/>
  <c r="I180" i="21"/>
  <c r="M180" i="21" s="1"/>
  <c r="E167" i="21"/>
  <c r="C167" i="21"/>
  <c r="D167" i="21"/>
  <c r="B168" i="21"/>
  <c r="F168" i="21" s="1"/>
  <c r="A169" i="21"/>
  <c r="K180" i="21" l="1"/>
  <c r="L180" i="21"/>
  <c r="J180" i="21"/>
  <c r="H182" i="21"/>
  <c r="I181" i="21"/>
  <c r="M181" i="21" s="1"/>
  <c r="A170" i="21"/>
  <c r="B169" i="21"/>
  <c r="F169" i="21" s="1"/>
  <c r="C168" i="21"/>
  <c r="D168" i="21"/>
  <c r="E168" i="21"/>
  <c r="K181" i="21" l="1"/>
  <c r="L181" i="21"/>
  <c r="J181" i="21"/>
  <c r="E169" i="21"/>
  <c r="D169" i="21"/>
  <c r="C169" i="21"/>
  <c r="A171" i="21"/>
  <c r="B170" i="21"/>
  <c r="F170" i="21" s="1"/>
  <c r="H183" i="21"/>
  <c r="I182" i="21"/>
  <c r="M182" i="21" s="1"/>
  <c r="L182" i="21" l="1"/>
  <c r="K182" i="21"/>
  <c r="J182" i="21"/>
  <c r="C170" i="21"/>
  <c r="D170" i="21"/>
  <c r="E170" i="21"/>
  <c r="H184" i="21"/>
  <c r="I183" i="21"/>
  <c r="M183" i="21" s="1"/>
  <c r="B171" i="21"/>
  <c r="F171" i="21" s="1"/>
  <c r="A172" i="21"/>
  <c r="E171" i="21" l="1"/>
  <c r="C171" i="21"/>
  <c r="D171" i="21"/>
  <c r="H185" i="21"/>
  <c r="I184" i="21"/>
  <c r="M184" i="21" s="1"/>
  <c r="A173" i="21"/>
  <c r="B172" i="21"/>
  <c r="F172" i="21" s="1"/>
  <c r="K183" i="21"/>
  <c r="L183" i="21"/>
  <c r="J183" i="21"/>
  <c r="C172" i="21" l="1"/>
  <c r="D172" i="21"/>
  <c r="E172" i="21"/>
  <c r="A174" i="21"/>
  <c r="B173" i="21"/>
  <c r="F173" i="21" s="1"/>
  <c r="K184" i="21"/>
  <c r="J184" i="21"/>
  <c r="L184" i="21"/>
  <c r="H186" i="21"/>
  <c r="I185" i="21"/>
  <c r="M185" i="21" s="1"/>
  <c r="K185" i="21" l="1"/>
  <c r="L185" i="21"/>
  <c r="J185" i="21"/>
  <c r="E173" i="21"/>
  <c r="C173" i="21"/>
  <c r="D173" i="21"/>
  <c r="A175" i="21"/>
  <c r="B174" i="21"/>
  <c r="F174" i="21" s="1"/>
  <c r="H187" i="21"/>
  <c r="I186" i="21"/>
  <c r="M186" i="21" s="1"/>
  <c r="L186" i="21" l="1"/>
  <c r="K186" i="21"/>
  <c r="J186" i="21"/>
  <c r="C174" i="21"/>
  <c r="D174" i="21"/>
  <c r="E174" i="21"/>
  <c r="H188" i="21"/>
  <c r="I187" i="21"/>
  <c r="M187" i="21" s="1"/>
  <c r="A176" i="21"/>
  <c r="B175" i="21"/>
  <c r="F175" i="21" s="1"/>
  <c r="E175" i="21" l="1"/>
  <c r="C175" i="21"/>
  <c r="D175" i="21"/>
  <c r="A177" i="21"/>
  <c r="B176" i="21"/>
  <c r="F176" i="21" s="1"/>
  <c r="L187" i="21"/>
  <c r="J187" i="21"/>
  <c r="K187" i="21"/>
  <c r="H189" i="21"/>
  <c r="I188" i="21"/>
  <c r="M188" i="21" s="1"/>
  <c r="C176" i="21" l="1"/>
  <c r="D176" i="21"/>
  <c r="E176" i="21"/>
  <c r="A178" i="21"/>
  <c r="B177" i="21"/>
  <c r="F177" i="21" s="1"/>
  <c r="H190" i="21"/>
  <c r="I189" i="21"/>
  <c r="M189" i="21" s="1"/>
  <c r="K188" i="21"/>
  <c r="L188" i="21"/>
  <c r="J188" i="21"/>
  <c r="H191" i="21" l="1"/>
  <c r="I190" i="21"/>
  <c r="M190" i="21" s="1"/>
  <c r="E177" i="21"/>
  <c r="D177" i="21"/>
  <c r="C177" i="21"/>
  <c r="K189" i="21"/>
  <c r="L189" i="21"/>
  <c r="J189" i="21"/>
  <c r="A179" i="21"/>
  <c r="B178" i="21"/>
  <c r="F178" i="21" s="1"/>
  <c r="C178" i="21" l="1"/>
  <c r="D178" i="21"/>
  <c r="E178" i="21"/>
  <c r="A180" i="21"/>
  <c r="B179" i="21"/>
  <c r="F179" i="21" s="1"/>
  <c r="L190" i="21"/>
  <c r="K190" i="21"/>
  <c r="J190" i="21"/>
  <c r="H192" i="21"/>
  <c r="I191" i="21"/>
  <c r="M191" i="21" s="1"/>
  <c r="E179" i="21" l="1"/>
  <c r="C179" i="21"/>
  <c r="D179" i="21"/>
  <c r="A181" i="21"/>
  <c r="B180" i="21"/>
  <c r="F180" i="21" s="1"/>
  <c r="K191" i="21"/>
  <c r="L191" i="21"/>
  <c r="J191" i="21"/>
  <c r="H193" i="21"/>
  <c r="I192" i="21"/>
  <c r="M192" i="21" s="1"/>
  <c r="C180" i="21" l="1"/>
  <c r="D180" i="21"/>
  <c r="E180" i="21"/>
  <c r="H194" i="21"/>
  <c r="I193" i="21"/>
  <c r="M193" i="21" s="1"/>
  <c r="A182" i="21"/>
  <c r="B181" i="21"/>
  <c r="F181" i="21" s="1"/>
  <c r="J192" i="21"/>
  <c r="K192" i="21"/>
  <c r="L192" i="21"/>
  <c r="A183" i="21" l="1"/>
  <c r="B182" i="21"/>
  <c r="F182" i="21" s="1"/>
  <c r="K193" i="21"/>
  <c r="L193" i="21"/>
  <c r="J193" i="21"/>
  <c r="E181" i="21"/>
  <c r="D181" i="21"/>
  <c r="C181" i="21"/>
  <c r="H195" i="21"/>
  <c r="I194" i="21"/>
  <c r="M194" i="21" s="1"/>
  <c r="H196" i="21" l="1"/>
  <c r="I195" i="21"/>
  <c r="M195" i="21" s="1"/>
  <c r="L194" i="21"/>
  <c r="K194" i="21"/>
  <c r="J194" i="21"/>
  <c r="C182" i="21"/>
  <c r="D182" i="21"/>
  <c r="E182" i="21"/>
  <c r="B183" i="21"/>
  <c r="F183" i="21" s="1"/>
  <c r="A184" i="21"/>
  <c r="A185" i="21" l="1"/>
  <c r="B184" i="21"/>
  <c r="F184" i="21" s="1"/>
  <c r="E183" i="21"/>
  <c r="C183" i="21"/>
  <c r="D183" i="21"/>
  <c r="L195" i="21"/>
  <c r="J195" i="21"/>
  <c r="K195" i="21"/>
  <c r="H197" i="21"/>
  <c r="I196" i="21"/>
  <c r="M196" i="21" s="1"/>
  <c r="K196" i="21" l="1"/>
  <c r="L196" i="21"/>
  <c r="J196" i="21"/>
  <c r="H198" i="21"/>
  <c r="I197" i="21"/>
  <c r="M197" i="21" s="1"/>
  <c r="C184" i="21"/>
  <c r="D184" i="21"/>
  <c r="E184" i="21"/>
  <c r="B185" i="21"/>
  <c r="F185" i="21" s="1"/>
  <c r="A186" i="21"/>
  <c r="K197" i="21" l="1"/>
  <c r="L197" i="21"/>
  <c r="J197" i="21"/>
  <c r="H199" i="21"/>
  <c r="I198" i="21"/>
  <c r="M198" i="21" s="1"/>
  <c r="A187" i="21"/>
  <c r="B186" i="21"/>
  <c r="F186" i="21" s="1"/>
  <c r="E185" i="21"/>
  <c r="C185" i="21"/>
  <c r="D185" i="21"/>
  <c r="C186" i="21" l="1"/>
  <c r="D186" i="21"/>
  <c r="E186" i="21"/>
  <c r="B187" i="21"/>
  <c r="F187" i="21" s="1"/>
  <c r="A188" i="21"/>
  <c r="L198" i="21"/>
  <c r="K198" i="21"/>
  <c r="J198" i="21"/>
  <c r="H200" i="21"/>
  <c r="I199" i="21"/>
  <c r="M199" i="21" s="1"/>
  <c r="E187" i="21" l="1"/>
  <c r="C187" i="21"/>
  <c r="D187" i="21"/>
  <c r="K199" i="21"/>
  <c r="L199" i="21"/>
  <c r="J199" i="21"/>
  <c r="A189" i="21"/>
  <c r="B188" i="21"/>
  <c r="F188" i="21" s="1"/>
  <c r="H201" i="21"/>
  <c r="I200" i="21"/>
  <c r="M200" i="21" s="1"/>
  <c r="C188" i="21" l="1"/>
  <c r="D188" i="21"/>
  <c r="E188" i="21"/>
  <c r="A190" i="21"/>
  <c r="B189" i="21"/>
  <c r="F189" i="21" s="1"/>
  <c r="K200" i="21"/>
  <c r="J200" i="21"/>
  <c r="L200" i="21"/>
  <c r="H202" i="21"/>
  <c r="I201" i="21"/>
  <c r="M201" i="21" s="1"/>
  <c r="E189" i="21" l="1"/>
  <c r="D189" i="21"/>
  <c r="C189" i="21"/>
  <c r="A191" i="21"/>
  <c r="B190" i="21"/>
  <c r="F190" i="21" s="1"/>
  <c r="K201" i="21"/>
  <c r="L201" i="21"/>
  <c r="J201" i="21"/>
  <c r="H203" i="21"/>
  <c r="I202" i="21"/>
  <c r="M202" i="21" s="1"/>
  <c r="L202" i="21" l="1"/>
  <c r="K202" i="21"/>
  <c r="J202" i="21"/>
  <c r="C190" i="21"/>
  <c r="D190" i="21"/>
  <c r="E190" i="21"/>
  <c r="A192" i="21"/>
  <c r="B191" i="21"/>
  <c r="F191" i="21" s="1"/>
  <c r="H204" i="21"/>
  <c r="I203" i="21"/>
  <c r="M203" i="21" s="1"/>
  <c r="K203" i="21" l="1"/>
  <c r="J203" i="21"/>
  <c r="L203" i="21"/>
  <c r="H205" i="21"/>
  <c r="I204" i="21"/>
  <c r="M204" i="21" s="1"/>
  <c r="E191" i="21"/>
  <c r="C191" i="21"/>
  <c r="D191" i="21"/>
  <c r="A193" i="21"/>
  <c r="B192" i="21"/>
  <c r="F192" i="21" s="1"/>
  <c r="K204" i="21" l="1"/>
  <c r="L204" i="21"/>
  <c r="J204" i="21"/>
  <c r="H206" i="21"/>
  <c r="I205" i="21"/>
  <c r="M205" i="21" s="1"/>
  <c r="C192" i="21"/>
  <c r="D192" i="21"/>
  <c r="E192" i="21"/>
  <c r="A194" i="21"/>
  <c r="B193" i="21"/>
  <c r="F193" i="21" s="1"/>
  <c r="K205" i="21" l="1"/>
  <c r="L205" i="21"/>
  <c r="J205" i="21"/>
  <c r="H207" i="21"/>
  <c r="I206" i="21"/>
  <c r="M206" i="21" s="1"/>
  <c r="E193" i="21"/>
  <c r="C193" i="21"/>
  <c r="D193" i="21"/>
  <c r="A195" i="21"/>
  <c r="B194" i="21"/>
  <c r="F194" i="21" s="1"/>
  <c r="C194" i="21" l="1"/>
  <c r="D194" i="21"/>
  <c r="E194" i="21"/>
  <c r="H208" i="21"/>
  <c r="I207" i="21"/>
  <c r="M207" i="21" s="1"/>
  <c r="B195" i="21"/>
  <c r="F195" i="21" s="1"/>
  <c r="A196" i="21"/>
  <c r="L206" i="21"/>
  <c r="K206" i="21"/>
  <c r="J206" i="21"/>
  <c r="A197" i="21" l="1"/>
  <c r="B196" i="21"/>
  <c r="F196" i="21" s="1"/>
  <c r="C195" i="21"/>
  <c r="D195" i="21"/>
  <c r="E195" i="21"/>
  <c r="H209" i="21"/>
  <c r="I208" i="21"/>
  <c r="M208" i="21" s="1"/>
  <c r="K207" i="21"/>
  <c r="L207" i="21"/>
  <c r="J207" i="21"/>
  <c r="D196" i="21" l="1"/>
  <c r="E196" i="21"/>
  <c r="C196" i="21"/>
  <c r="J208" i="21"/>
  <c r="K208" i="21"/>
  <c r="L208" i="21"/>
  <c r="B197" i="21"/>
  <c r="F197" i="21" s="1"/>
  <c r="A198" i="21"/>
  <c r="H210" i="21"/>
  <c r="I209" i="21"/>
  <c r="M209" i="21" s="1"/>
  <c r="C197" i="21" l="1"/>
  <c r="D197" i="21"/>
  <c r="E197" i="21"/>
  <c r="A199" i="21"/>
  <c r="B198" i="21"/>
  <c r="F198" i="21" s="1"/>
  <c r="K209" i="21"/>
  <c r="L209" i="21"/>
  <c r="J209" i="21"/>
  <c r="H211" i="21"/>
  <c r="I210" i="21"/>
  <c r="M210" i="21" s="1"/>
  <c r="C198" i="21" l="1"/>
  <c r="D198" i="21"/>
  <c r="E198" i="21"/>
  <c r="A200" i="21"/>
  <c r="B199" i="21"/>
  <c r="F199" i="21" s="1"/>
  <c r="L210" i="21"/>
  <c r="K210" i="21"/>
  <c r="J210" i="21"/>
  <c r="H212" i="21"/>
  <c r="I211" i="21"/>
  <c r="M211" i="21" s="1"/>
  <c r="C199" i="21" l="1"/>
  <c r="D199" i="21"/>
  <c r="E199" i="21"/>
  <c r="A201" i="21"/>
  <c r="B200" i="21"/>
  <c r="F200" i="21" s="1"/>
  <c r="L211" i="21"/>
  <c r="K211" i="21"/>
  <c r="J211" i="21"/>
  <c r="H213" i="21"/>
  <c r="I212" i="21"/>
  <c r="M212" i="21" s="1"/>
  <c r="D200" i="21" l="1"/>
  <c r="C200" i="21"/>
  <c r="E200" i="21"/>
  <c r="B201" i="21"/>
  <c r="F201" i="21" s="1"/>
  <c r="A202" i="21"/>
  <c r="K212" i="21"/>
  <c r="L212" i="21"/>
  <c r="J212" i="21"/>
  <c r="H214" i="21"/>
  <c r="I213" i="21"/>
  <c r="M213" i="21" s="1"/>
  <c r="A203" i="21" l="1"/>
  <c r="B202" i="21"/>
  <c r="F202" i="21" s="1"/>
  <c r="K213" i="21"/>
  <c r="L213" i="21"/>
  <c r="J213" i="21"/>
  <c r="C201" i="21"/>
  <c r="D201" i="21"/>
  <c r="E201" i="21"/>
  <c r="H215" i="21"/>
  <c r="I214" i="21"/>
  <c r="M214" i="21" s="1"/>
  <c r="L214" i="21" l="1"/>
  <c r="K214" i="21"/>
  <c r="J214" i="21"/>
  <c r="H216" i="21"/>
  <c r="I215" i="21"/>
  <c r="M215" i="21" s="1"/>
  <c r="C202" i="21"/>
  <c r="D202" i="21"/>
  <c r="E202" i="21"/>
  <c r="B203" i="21"/>
  <c r="F203" i="21" s="1"/>
  <c r="A204" i="21"/>
  <c r="K215" i="21" l="1"/>
  <c r="L215" i="21"/>
  <c r="J215" i="21"/>
  <c r="H217" i="21"/>
  <c r="I216" i="21"/>
  <c r="M216" i="21" s="1"/>
  <c r="B204" i="21"/>
  <c r="F204" i="21" s="1"/>
  <c r="A205" i="21"/>
  <c r="C203" i="21"/>
  <c r="D203" i="21"/>
  <c r="E203" i="21"/>
  <c r="B205" i="21" l="1"/>
  <c r="F205" i="21" s="1"/>
  <c r="A206" i="21"/>
  <c r="D204" i="21"/>
  <c r="C204" i="21"/>
  <c r="E204" i="21"/>
  <c r="K216" i="21"/>
  <c r="J216" i="21"/>
  <c r="L216" i="21"/>
  <c r="H218" i="21"/>
  <c r="I217" i="21"/>
  <c r="M217" i="21" s="1"/>
  <c r="K217" i="21" l="1"/>
  <c r="L217" i="21"/>
  <c r="J217" i="21"/>
  <c r="H219" i="21"/>
  <c r="I218" i="21"/>
  <c r="M218" i="21" s="1"/>
  <c r="A207" i="21"/>
  <c r="B206" i="21"/>
  <c r="F206" i="21" s="1"/>
  <c r="C205" i="21"/>
  <c r="D205" i="21"/>
  <c r="E205" i="21"/>
  <c r="L218" i="21" l="1"/>
  <c r="K218" i="21"/>
  <c r="J218" i="21"/>
  <c r="C206" i="21"/>
  <c r="D206" i="21"/>
  <c r="E206" i="21"/>
  <c r="A208" i="21"/>
  <c r="B207" i="21"/>
  <c r="F207" i="21" s="1"/>
  <c r="H220" i="21"/>
  <c r="I219" i="21"/>
  <c r="M219" i="21" s="1"/>
  <c r="L219" i="21" l="1"/>
  <c r="J219" i="21"/>
  <c r="K219" i="21"/>
  <c r="H221" i="21"/>
  <c r="I220" i="21"/>
  <c r="M220" i="21" s="1"/>
  <c r="C207" i="21"/>
  <c r="D207" i="21"/>
  <c r="E207" i="21"/>
  <c r="B208" i="21"/>
  <c r="F208" i="21" s="1"/>
  <c r="A209" i="21"/>
  <c r="K220" i="21" l="1"/>
  <c r="L220" i="21"/>
  <c r="J220" i="21"/>
  <c r="H222" i="21"/>
  <c r="I221" i="21"/>
  <c r="M221" i="21" s="1"/>
  <c r="A210" i="21"/>
  <c r="B209" i="21"/>
  <c r="F209" i="21" s="1"/>
  <c r="D208" i="21"/>
  <c r="C208" i="21"/>
  <c r="E208" i="21"/>
  <c r="C209" i="21" l="1"/>
  <c r="D209" i="21"/>
  <c r="E209" i="21"/>
  <c r="A211" i="21"/>
  <c r="B210" i="21"/>
  <c r="F210" i="21" s="1"/>
  <c r="K221" i="21"/>
  <c r="L221" i="21"/>
  <c r="J221" i="21"/>
  <c r="H223" i="21"/>
  <c r="I222" i="21"/>
  <c r="M222" i="21" s="1"/>
  <c r="C210" i="21" l="1"/>
  <c r="D210" i="21"/>
  <c r="E210" i="21"/>
  <c r="A212" i="21"/>
  <c r="B211" i="21"/>
  <c r="F211" i="21" s="1"/>
  <c r="L222" i="21"/>
  <c r="K222" i="21"/>
  <c r="J222" i="21"/>
  <c r="H224" i="21"/>
  <c r="I223" i="21"/>
  <c r="M223" i="21" s="1"/>
  <c r="C211" i="21" l="1"/>
  <c r="D211" i="21"/>
  <c r="E211" i="21"/>
  <c r="B212" i="21"/>
  <c r="F212" i="21" s="1"/>
  <c r="A213" i="21"/>
  <c r="K223" i="21"/>
  <c r="L223" i="21"/>
  <c r="J223" i="21"/>
  <c r="H225" i="21"/>
  <c r="I224" i="21"/>
  <c r="M224" i="21" s="1"/>
  <c r="D212" i="21" l="1"/>
  <c r="E212" i="21"/>
  <c r="C212" i="21"/>
  <c r="J224" i="21"/>
  <c r="K224" i="21"/>
  <c r="L224" i="21"/>
  <c r="A214" i="21"/>
  <c r="B213" i="21"/>
  <c r="F213" i="21" s="1"/>
  <c r="H226" i="21"/>
  <c r="I225" i="21"/>
  <c r="M225" i="21" s="1"/>
  <c r="K225" i="21" l="1"/>
  <c r="L225" i="21"/>
  <c r="J225" i="21"/>
  <c r="H227" i="21"/>
  <c r="I226" i="21"/>
  <c r="M226" i="21" s="1"/>
  <c r="C213" i="21"/>
  <c r="D213" i="21"/>
  <c r="E213" i="21"/>
  <c r="A215" i="21"/>
  <c r="B214" i="21"/>
  <c r="F214" i="21" s="1"/>
  <c r="L226" i="21" l="1"/>
  <c r="K226" i="21"/>
  <c r="J226" i="21"/>
  <c r="H228" i="21"/>
  <c r="I227" i="21"/>
  <c r="M227" i="21" s="1"/>
  <c r="C214" i="21"/>
  <c r="D214" i="21"/>
  <c r="E214" i="21"/>
  <c r="B215" i="21"/>
  <c r="F215" i="21" s="1"/>
  <c r="A216" i="21"/>
  <c r="L227" i="21" l="1"/>
  <c r="J227" i="21"/>
  <c r="K227" i="21"/>
  <c r="C215" i="21"/>
  <c r="D215" i="21"/>
  <c r="E215" i="21"/>
  <c r="H229" i="21"/>
  <c r="I228" i="21"/>
  <c r="M228" i="21" s="1"/>
  <c r="A217" i="21"/>
  <c r="B216" i="21"/>
  <c r="F216" i="21" s="1"/>
  <c r="D216" i="21" l="1"/>
  <c r="C216" i="21"/>
  <c r="E216" i="21"/>
  <c r="A218" i="21"/>
  <c r="B217" i="21"/>
  <c r="F217" i="21" s="1"/>
  <c r="K228" i="21"/>
  <c r="L228" i="21"/>
  <c r="J228" i="21"/>
  <c r="H230" i="21"/>
  <c r="I229" i="21"/>
  <c r="M229" i="21" s="1"/>
  <c r="C217" i="21" l="1"/>
  <c r="D217" i="21"/>
  <c r="E217" i="21"/>
  <c r="A219" i="21"/>
  <c r="B218" i="21"/>
  <c r="F218" i="21" s="1"/>
  <c r="K229" i="21"/>
  <c r="L229" i="21"/>
  <c r="J229" i="21"/>
  <c r="H231" i="21"/>
  <c r="I230" i="21"/>
  <c r="M230" i="21" s="1"/>
  <c r="C218" i="21" l="1"/>
  <c r="D218" i="21"/>
  <c r="E218" i="21"/>
  <c r="A220" i="21"/>
  <c r="B219" i="21"/>
  <c r="F219" i="21" s="1"/>
  <c r="L230" i="21"/>
  <c r="K230" i="21"/>
  <c r="J230" i="21"/>
  <c r="H232" i="21"/>
  <c r="I231" i="21"/>
  <c r="M231" i="21" s="1"/>
  <c r="C219" i="21" l="1"/>
  <c r="D219" i="21"/>
  <c r="E219" i="21"/>
  <c r="A221" i="21"/>
  <c r="B220" i="21"/>
  <c r="F220" i="21" s="1"/>
  <c r="K231" i="21"/>
  <c r="L231" i="21"/>
  <c r="J231" i="21"/>
  <c r="H233" i="21"/>
  <c r="I232" i="21"/>
  <c r="M232" i="21" s="1"/>
  <c r="D220" i="21" l="1"/>
  <c r="C220" i="21"/>
  <c r="E220" i="21"/>
  <c r="A222" i="21"/>
  <c r="B221" i="21"/>
  <c r="F221" i="21" s="1"/>
  <c r="K232" i="21"/>
  <c r="J232" i="21"/>
  <c r="L232" i="21"/>
  <c r="H234" i="21"/>
  <c r="I233" i="21"/>
  <c r="M233" i="21" s="1"/>
  <c r="C221" i="21" l="1"/>
  <c r="D221" i="21"/>
  <c r="E221" i="21"/>
  <c r="A223" i="21"/>
  <c r="B222" i="21"/>
  <c r="F222" i="21" s="1"/>
  <c r="K233" i="21"/>
  <c r="L233" i="21"/>
  <c r="J233" i="21"/>
  <c r="H235" i="21"/>
  <c r="I234" i="21"/>
  <c r="M234" i="21" s="1"/>
  <c r="C222" i="21" l="1"/>
  <c r="D222" i="21"/>
  <c r="E222" i="21"/>
  <c r="B223" i="21"/>
  <c r="F223" i="21" s="1"/>
  <c r="A224" i="21"/>
  <c r="L234" i="21"/>
  <c r="K234" i="21"/>
  <c r="J234" i="21"/>
  <c r="H236" i="21"/>
  <c r="I235" i="21"/>
  <c r="M235" i="21" s="1"/>
  <c r="A225" i="21" l="1"/>
  <c r="B224" i="21"/>
  <c r="F224" i="21" s="1"/>
  <c r="C223" i="21"/>
  <c r="D223" i="21"/>
  <c r="E223" i="21"/>
  <c r="K235" i="21"/>
  <c r="J235" i="21"/>
  <c r="L235" i="21"/>
  <c r="H237" i="21"/>
  <c r="I236" i="21"/>
  <c r="M236" i="21" s="1"/>
  <c r="K236" i="21" l="1"/>
  <c r="L236" i="21"/>
  <c r="J236" i="21"/>
  <c r="H238" i="21"/>
  <c r="I237" i="21"/>
  <c r="M237" i="21" s="1"/>
  <c r="D224" i="21"/>
  <c r="C224" i="21"/>
  <c r="E224" i="21"/>
  <c r="A226" i="21"/>
  <c r="B225" i="21"/>
  <c r="F225" i="21" s="1"/>
  <c r="K237" i="21" l="1"/>
  <c r="L237" i="21"/>
  <c r="J237" i="21"/>
  <c r="H239" i="21"/>
  <c r="I238" i="21"/>
  <c r="M238" i="21" s="1"/>
  <c r="C225" i="21"/>
  <c r="D225" i="21"/>
  <c r="E225" i="21"/>
  <c r="B226" i="21"/>
  <c r="F226" i="21" s="1"/>
  <c r="A227" i="21"/>
  <c r="L238" i="21" l="1"/>
  <c r="K238" i="21"/>
  <c r="J238" i="21"/>
  <c r="H240" i="21"/>
  <c r="I239" i="21"/>
  <c r="M239" i="21" s="1"/>
  <c r="A228" i="21"/>
  <c r="B227" i="21"/>
  <c r="F227" i="21" s="1"/>
  <c r="C226" i="21"/>
  <c r="D226" i="21"/>
  <c r="E226" i="21"/>
  <c r="C227" i="21" l="1"/>
  <c r="D227" i="21"/>
  <c r="E227" i="21"/>
  <c r="A229" i="21"/>
  <c r="B228" i="21"/>
  <c r="F228" i="21" s="1"/>
  <c r="K239" i="21"/>
  <c r="L239" i="21"/>
  <c r="J239" i="21"/>
  <c r="H241" i="21"/>
  <c r="I240" i="21"/>
  <c r="M240" i="21" s="1"/>
  <c r="H242" i="21" l="1"/>
  <c r="I241" i="21"/>
  <c r="M241" i="21" s="1"/>
  <c r="D228" i="21"/>
  <c r="E228" i="21"/>
  <c r="C228" i="21"/>
  <c r="B229" i="21"/>
  <c r="F229" i="21" s="1"/>
  <c r="A230" i="21"/>
  <c r="J240" i="21"/>
  <c r="K240" i="21"/>
  <c r="L240" i="21"/>
  <c r="A231" i="21" l="1"/>
  <c r="B230" i="21"/>
  <c r="F230" i="21" s="1"/>
  <c r="C229" i="21"/>
  <c r="D229" i="21"/>
  <c r="E229" i="21"/>
  <c r="K241" i="21"/>
  <c r="L241" i="21"/>
  <c r="J241" i="21"/>
  <c r="H243" i="21"/>
  <c r="I242" i="21"/>
  <c r="M242" i="21" s="1"/>
  <c r="L242" i="21" l="1"/>
  <c r="K242" i="21"/>
  <c r="J242" i="21"/>
  <c r="H244" i="21"/>
  <c r="I243" i="21"/>
  <c r="M243" i="21" s="1"/>
  <c r="C230" i="21"/>
  <c r="D230" i="21"/>
  <c r="E230" i="21"/>
  <c r="B231" i="21"/>
  <c r="F231" i="21" s="1"/>
  <c r="A232" i="21"/>
  <c r="L243" i="21" l="1"/>
  <c r="K243" i="21"/>
  <c r="J243" i="21"/>
  <c r="C231" i="21"/>
  <c r="D231" i="21"/>
  <c r="E231" i="21"/>
  <c r="H245" i="21"/>
  <c r="I244" i="21"/>
  <c r="M244" i="21" s="1"/>
  <c r="A233" i="21"/>
  <c r="B232" i="21"/>
  <c r="F232" i="21" s="1"/>
  <c r="D232" i="21" l="1"/>
  <c r="C232" i="21"/>
  <c r="E232" i="21"/>
  <c r="B233" i="21"/>
  <c r="F233" i="21" s="1"/>
  <c r="A234" i="21"/>
  <c r="K244" i="21"/>
  <c r="L244" i="21"/>
  <c r="J244" i="21"/>
  <c r="H246" i="21"/>
  <c r="I245" i="21"/>
  <c r="M245" i="21" s="1"/>
  <c r="B234" i="21" l="1"/>
  <c r="F234" i="21" s="1"/>
  <c r="A235" i="21"/>
  <c r="C233" i="21"/>
  <c r="D233" i="21"/>
  <c r="E233" i="21"/>
  <c r="K245" i="21"/>
  <c r="L245" i="21"/>
  <c r="J245" i="21"/>
  <c r="H247" i="21"/>
  <c r="I246" i="21"/>
  <c r="M246" i="21" s="1"/>
  <c r="L246" i="21" l="1"/>
  <c r="K246" i="21"/>
  <c r="J246" i="21"/>
  <c r="H248" i="21"/>
  <c r="I247" i="21"/>
  <c r="M247" i="21" s="1"/>
  <c r="B235" i="21"/>
  <c r="F235" i="21" s="1"/>
  <c r="A236" i="21"/>
  <c r="C234" i="21"/>
  <c r="D234" i="21"/>
  <c r="E234" i="21"/>
  <c r="C235" i="21" l="1"/>
  <c r="D235" i="21"/>
  <c r="E235" i="21"/>
  <c r="K247" i="21"/>
  <c r="L247" i="21"/>
  <c r="J247" i="21"/>
  <c r="B236" i="21"/>
  <c r="F236" i="21" s="1"/>
  <c r="A237" i="21"/>
  <c r="H249" i="21"/>
  <c r="I248" i="21"/>
  <c r="M248" i="21" s="1"/>
  <c r="B237" i="21" l="1"/>
  <c r="F237" i="21" s="1"/>
  <c r="A238" i="21"/>
  <c r="H250" i="21"/>
  <c r="I249" i="21"/>
  <c r="M249" i="21" s="1"/>
  <c r="K248" i="21"/>
  <c r="J248" i="21"/>
  <c r="L248" i="21"/>
  <c r="D236" i="21"/>
  <c r="C236" i="21"/>
  <c r="E236" i="21"/>
  <c r="H251" i="21" l="1"/>
  <c r="I250" i="21"/>
  <c r="M250" i="21" s="1"/>
  <c r="A239" i="21"/>
  <c r="B238" i="21"/>
  <c r="F238" i="21" s="1"/>
  <c r="K249" i="21"/>
  <c r="L249" i="21"/>
  <c r="J249" i="21"/>
  <c r="C237" i="21"/>
  <c r="D237" i="21"/>
  <c r="E237" i="21"/>
  <c r="C238" i="21" l="1"/>
  <c r="D238" i="21"/>
  <c r="E238" i="21"/>
  <c r="B239" i="21"/>
  <c r="F239" i="21" s="1"/>
  <c r="A240" i="21"/>
  <c r="L250" i="21"/>
  <c r="K250" i="21"/>
  <c r="J250" i="21"/>
  <c r="H252" i="21"/>
  <c r="I251" i="21"/>
  <c r="M251" i="21" s="1"/>
  <c r="A241" i="21" l="1"/>
  <c r="B240" i="21"/>
  <c r="F240" i="21" s="1"/>
  <c r="C239" i="21"/>
  <c r="D239" i="21"/>
  <c r="E239" i="21"/>
  <c r="L251" i="21"/>
  <c r="J251" i="21"/>
  <c r="K251" i="21"/>
  <c r="H253" i="21"/>
  <c r="I252" i="21"/>
  <c r="M252" i="21" s="1"/>
  <c r="K252" i="21" l="1"/>
  <c r="L252" i="21"/>
  <c r="J252" i="21"/>
  <c r="H254" i="21"/>
  <c r="I253" i="21"/>
  <c r="M253" i="21" s="1"/>
  <c r="D240" i="21"/>
  <c r="C240" i="21"/>
  <c r="E240" i="21"/>
  <c r="A242" i="21"/>
  <c r="B241" i="21"/>
  <c r="F241" i="21" s="1"/>
  <c r="C241" i="21" l="1"/>
  <c r="D241" i="21"/>
  <c r="E241" i="21"/>
  <c r="K253" i="21"/>
  <c r="L253" i="21"/>
  <c r="J253" i="21"/>
  <c r="H255" i="21"/>
  <c r="I254" i="21"/>
  <c r="M254" i="21" s="1"/>
  <c r="A243" i="21"/>
  <c r="B242" i="21"/>
  <c r="F242" i="21" s="1"/>
  <c r="C242" i="21" l="1"/>
  <c r="D242" i="21"/>
  <c r="E242" i="21"/>
  <c r="L254" i="21"/>
  <c r="K254" i="21"/>
  <c r="J254" i="21"/>
  <c r="A244" i="21"/>
  <c r="B243" i="21"/>
  <c r="F243" i="21" s="1"/>
  <c r="H256" i="21"/>
  <c r="I255" i="21"/>
  <c r="M255" i="21" s="1"/>
  <c r="K255" i="21" l="1"/>
  <c r="L255" i="21"/>
  <c r="J255" i="21"/>
  <c r="H257" i="21"/>
  <c r="I256" i="21"/>
  <c r="M256" i="21" s="1"/>
  <c r="C243" i="21"/>
  <c r="D243" i="21"/>
  <c r="E243" i="21"/>
  <c r="B244" i="21"/>
  <c r="F244" i="21" s="1"/>
  <c r="A245" i="21"/>
  <c r="B245" i="21" l="1"/>
  <c r="F245" i="21" s="1"/>
  <c r="A246" i="21"/>
  <c r="J256" i="21"/>
  <c r="K256" i="21"/>
  <c r="L256" i="21"/>
  <c r="H258" i="21"/>
  <c r="I257" i="21"/>
  <c r="M257" i="21" s="1"/>
  <c r="D244" i="21"/>
  <c r="E244" i="21"/>
  <c r="C244" i="21"/>
  <c r="K257" i="21" l="1"/>
  <c r="L257" i="21"/>
  <c r="J257" i="21"/>
  <c r="H259" i="21"/>
  <c r="I258" i="21"/>
  <c r="M258" i="21" s="1"/>
  <c r="A247" i="21"/>
  <c r="B246" i="21"/>
  <c r="F246" i="21" s="1"/>
  <c r="C245" i="21"/>
  <c r="D245" i="21"/>
  <c r="E245" i="21"/>
  <c r="A248" i="21" l="1"/>
  <c r="B247" i="21"/>
  <c r="F247" i="21" s="1"/>
  <c r="L258" i="21"/>
  <c r="K258" i="21"/>
  <c r="J258" i="21"/>
  <c r="C246" i="21"/>
  <c r="D246" i="21"/>
  <c r="E246" i="21"/>
  <c r="H260" i="21"/>
  <c r="I259" i="21"/>
  <c r="M259" i="21" s="1"/>
  <c r="L259" i="21" l="1"/>
  <c r="J259" i="21"/>
  <c r="K259" i="21"/>
  <c r="C247" i="21"/>
  <c r="D247" i="21"/>
  <c r="E247" i="21"/>
  <c r="H261" i="21"/>
  <c r="I260" i="21"/>
  <c r="M260" i="21" s="1"/>
  <c r="A249" i="21"/>
  <c r="B248" i="21"/>
  <c r="F248" i="21" s="1"/>
  <c r="D248" i="21" l="1"/>
  <c r="C248" i="21"/>
  <c r="E248" i="21"/>
  <c r="A250" i="21"/>
  <c r="B249" i="21"/>
  <c r="F249" i="21" s="1"/>
  <c r="K260" i="21"/>
  <c r="L260" i="21"/>
  <c r="J260" i="21"/>
  <c r="H262" i="21"/>
  <c r="I261" i="21"/>
  <c r="M261" i="21" s="1"/>
  <c r="C249" i="21" l="1"/>
  <c r="D249" i="21"/>
  <c r="E249" i="21"/>
  <c r="A251" i="21"/>
  <c r="B250" i="21"/>
  <c r="F250" i="21" s="1"/>
  <c r="K261" i="21"/>
  <c r="L261" i="21"/>
  <c r="J261" i="21"/>
  <c r="H263" i="21"/>
  <c r="I262" i="21"/>
  <c r="M262" i="21" s="1"/>
  <c r="C250" i="21" l="1"/>
  <c r="D250" i="21"/>
  <c r="E250" i="21"/>
  <c r="A252" i="21"/>
  <c r="B251" i="21"/>
  <c r="F251" i="21" s="1"/>
  <c r="L262" i="21"/>
  <c r="K262" i="21"/>
  <c r="J262" i="21"/>
  <c r="H264" i="21"/>
  <c r="I263" i="21"/>
  <c r="M263" i="21" s="1"/>
  <c r="C251" i="21" l="1"/>
  <c r="D251" i="21"/>
  <c r="E251" i="21"/>
  <c r="A253" i="21"/>
  <c r="B252" i="21"/>
  <c r="F252" i="21" s="1"/>
  <c r="K263" i="21"/>
  <c r="L263" i="21"/>
  <c r="J263" i="21"/>
  <c r="H265" i="21"/>
  <c r="I264" i="21"/>
  <c r="M264" i="21" s="1"/>
  <c r="H266" i="21" l="1"/>
  <c r="I265" i="21"/>
  <c r="M265" i="21" s="1"/>
  <c r="D252" i="21"/>
  <c r="C252" i="21"/>
  <c r="E252" i="21"/>
  <c r="A254" i="21"/>
  <c r="B253" i="21"/>
  <c r="F253" i="21" s="1"/>
  <c r="K264" i="21"/>
  <c r="J264" i="21"/>
  <c r="L264" i="21"/>
  <c r="C253" i="21" l="1"/>
  <c r="D253" i="21"/>
  <c r="E253" i="21"/>
  <c r="A255" i="21"/>
  <c r="B254" i="21"/>
  <c r="F254" i="21" s="1"/>
  <c r="K265" i="21"/>
  <c r="L265" i="21"/>
  <c r="J265" i="21"/>
  <c r="H267" i="21"/>
  <c r="I266" i="21"/>
  <c r="M266" i="21" s="1"/>
  <c r="C254" i="21" l="1"/>
  <c r="D254" i="21"/>
  <c r="E254" i="21"/>
  <c r="A256" i="21"/>
  <c r="B255" i="21"/>
  <c r="F255" i="21" s="1"/>
  <c r="L266" i="21"/>
  <c r="K266" i="21"/>
  <c r="J266" i="21"/>
  <c r="H268" i="21"/>
  <c r="I267" i="21"/>
  <c r="M267" i="21" s="1"/>
  <c r="K267" i="21" l="1"/>
  <c r="J267" i="21"/>
  <c r="L267" i="21"/>
  <c r="C255" i="21"/>
  <c r="D255" i="21"/>
  <c r="E255" i="21"/>
  <c r="B256" i="21"/>
  <c r="F256" i="21" s="1"/>
  <c r="A257" i="21"/>
  <c r="H269" i="21"/>
  <c r="I268" i="21"/>
  <c r="M268" i="21" s="1"/>
  <c r="K268" i="21" l="1"/>
  <c r="L268" i="21"/>
  <c r="J268" i="21"/>
  <c r="H270" i="21"/>
  <c r="I269" i="21"/>
  <c r="M269" i="21" s="1"/>
  <c r="A258" i="21"/>
  <c r="B257" i="21"/>
  <c r="F257" i="21" s="1"/>
  <c r="D256" i="21"/>
  <c r="C256" i="21"/>
  <c r="E256" i="21"/>
  <c r="A259" i="21" l="1"/>
  <c r="B258" i="21"/>
  <c r="F258" i="21" s="1"/>
  <c r="K269" i="21"/>
  <c r="L269" i="21"/>
  <c r="J269" i="21"/>
  <c r="C257" i="21"/>
  <c r="D257" i="21"/>
  <c r="E257" i="21"/>
  <c r="H271" i="21"/>
  <c r="I270" i="21"/>
  <c r="M270" i="21" s="1"/>
  <c r="L270" i="21" l="1"/>
  <c r="K270" i="21"/>
  <c r="J270" i="21"/>
  <c r="H272" i="21"/>
  <c r="I271" i="21"/>
  <c r="M271" i="21" s="1"/>
  <c r="C258" i="21"/>
  <c r="D258" i="21"/>
  <c r="E258" i="21"/>
  <c r="A260" i="21"/>
  <c r="B259" i="21"/>
  <c r="F259" i="21" s="1"/>
  <c r="K271" i="21" l="1"/>
  <c r="L271" i="21"/>
  <c r="J271" i="21"/>
  <c r="H273" i="21"/>
  <c r="I272" i="21"/>
  <c r="M272" i="21" s="1"/>
  <c r="C259" i="21"/>
  <c r="D259" i="21"/>
  <c r="E259" i="21"/>
  <c r="B260" i="21"/>
  <c r="F260" i="21" s="1"/>
  <c r="A261" i="21"/>
  <c r="J272" i="21" l="1"/>
  <c r="K272" i="21"/>
  <c r="L272" i="21"/>
  <c r="H274" i="21"/>
  <c r="I273" i="21"/>
  <c r="M273" i="21" s="1"/>
  <c r="B261" i="21"/>
  <c r="F261" i="21" s="1"/>
  <c r="A262" i="21"/>
  <c r="D260" i="21"/>
  <c r="E260" i="21"/>
  <c r="C260" i="21"/>
  <c r="A263" i="21" l="1"/>
  <c r="B262" i="21"/>
  <c r="F262" i="21" s="1"/>
  <c r="C261" i="21"/>
  <c r="D261" i="21"/>
  <c r="E261" i="21"/>
  <c r="K273" i="21"/>
  <c r="L273" i="21"/>
  <c r="J273" i="21"/>
  <c r="H275" i="21"/>
  <c r="I274" i="21"/>
  <c r="M274" i="21" s="1"/>
  <c r="L274" i="21" l="1"/>
  <c r="K274" i="21"/>
  <c r="J274" i="21"/>
  <c r="H276" i="21"/>
  <c r="I275" i="21"/>
  <c r="M275" i="21" s="1"/>
  <c r="C262" i="21"/>
  <c r="D262" i="21"/>
  <c r="E262" i="21"/>
  <c r="B263" i="21"/>
  <c r="F263" i="21" s="1"/>
  <c r="A264" i="21"/>
  <c r="L275" i="21" l="1"/>
  <c r="K275" i="21"/>
  <c r="J275" i="21"/>
  <c r="H277" i="21"/>
  <c r="I276" i="21"/>
  <c r="M276" i="21" s="1"/>
  <c r="A265" i="21"/>
  <c r="B264" i="21"/>
  <c r="F264" i="21" s="1"/>
  <c r="C263" i="21"/>
  <c r="D263" i="21"/>
  <c r="E263" i="21"/>
  <c r="D264" i="21" l="1"/>
  <c r="C264" i="21"/>
  <c r="E264" i="21"/>
  <c r="A266" i="21"/>
  <c r="B265" i="21"/>
  <c r="F265" i="21" s="1"/>
  <c r="K276" i="21"/>
  <c r="L276" i="21"/>
  <c r="J276" i="21"/>
  <c r="H278" i="21"/>
  <c r="I277" i="21"/>
  <c r="M277" i="21" s="1"/>
  <c r="C265" i="21" l="1"/>
  <c r="D265" i="21"/>
  <c r="E265" i="21"/>
  <c r="A267" i="21"/>
  <c r="B266" i="21"/>
  <c r="F266" i="21" s="1"/>
  <c r="K277" i="21"/>
  <c r="L277" i="21"/>
  <c r="J277" i="21"/>
  <c r="H279" i="21"/>
  <c r="I278" i="21"/>
  <c r="M278" i="21" s="1"/>
  <c r="C266" i="21" l="1"/>
  <c r="D266" i="21"/>
  <c r="E266" i="21"/>
  <c r="B267" i="21"/>
  <c r="F267" i="21" s="1"/>
  <c r="A268" i="21"/>
  <c r="L278" i="21"/>
  <c r="K278" i="21"/>
  <c r="J278" i="21"/>
  <c r="H280" i="21"/>
  <c r="I279" i="21"/>
  <c r="M279" i="21" s="1"/>
  <c r="A269" i="21" l="1"/>
  <c r="B268" i="21"/>
  <c r="F268" i="21" s="1"/>
  <c r="C267" i="21"/>
  <c r="D267" i="21"/>
  <c r="E267" i="21"/>
  <c r="K279" i="21"/>
  <c r="L279" i="21"/>
  <c r="J279" i="21"/>
  <c r="H281" i="21"/>
  <c r="I280" i="21"/>
  <c r="M280" i="21" s="1"/>
  <c r="K280" i="21" l="1"/>
  <c r="J280" i="21"/>
  <c r="L280" i="21"/>
  <c r="H282" i="21"/>
  <c r="I281" i="21"/>
  <c r="M281" i="21" s="1"/>
  <c r="D268" i="21"/>
  <c r="C268" i="21"/>
  <c r="E268" i="21"/>
  <c r="A270" i="21"/>
  <c r="B269" i="21"/>
  <c r="F269" i="21" s="1"/>
  <c r="K281" i="21" l="1"/>
  <c r="L281" i="21"/>
  <c r="J281" i="21"/>
  <c r="H283" i="21"/>
  <c r="I282" i="21"/>
  <c r="M282" i="21" s="1"/>
  <c r="C269" i="21"/>
  <c r="D269" i="21"/>
  <c r="E269" i="21"/>
  <c r="B270" i="21"/>
  <c r="F270" i="21" s="1"/>
  <c r="A271" i="21"/>
  <c r="L282" i="21" l="1"/>
  <c r="K282" i="21"/>
  <c r="J282" i="21"/>
  <c r="H284" i="21"/>
  <c r="I283" i="21"/>
  <c r="M283" i="21" s="1"/>
  <c r="B271" i="21"/>
  <c r="F271" i="21" s="1"/>
  <c r="A272" i="21"/>
  <c r="C270" i="21"/>
  <c r="D270" i="21"/>
  <c r="E270" i="21"/>
  <c r="B272" i="21" l="1"/>
  <c r="F272" i="21" s="1"/>
  <c r="A273" i="21"/>
  <c r="L283" i="21"/>
  <c r="J283" i="21"/>
  <c r="K283" i="21"/>
  <c r="C271" i="21"/>
  <c r="D271" i="21"/>
  <c r="E271" i="21"/>
  <c r="H285" i="21"/>
  <c r="I284" i="21"/>
  <c r="M284" i="21" s="1"/>
  <c r="H286" i="21" l="1"/>
  <c r="I285" i="21"/>
  <c r="M285" i="21" s="1"/>
  <c r="K284" i="21"/>
  <c r="L284" i="21"/>
  <c r="J284" i="21"/>
  <c r="B273" i="21"/>
  <c r="F273" i="21" s="1"/>
  <c r="A274" i="21"/>
  <c r="D272" i="21"/>
  <c r="C272" i="21"/>
  <c r="E272" i="21"/>
  <c r="C273" i="21" l="1"/>
  <c r="D273" i="21"/>
  <c r="E273" i="21"/>
  <c r="A275" i="21"/>
  <c r="B274" i="21"/>
  <c r="F274" i="21" s="1"/>
  <c r="K285" i="21"/>
  <c r="L285" i="21"/>
  <c r="J285" i="21"/>
  <c r="H287" i="21"/>
  <c r="I286" i="21"/>
  <c r="M286" i="21" s="1"/>
  <c r="C274" i="21" l="1"/>
  <c r="D274" i="21"/>
  <c r="E274" i="21"/>
  <c r="A276" i="21"/>
  <c r="B275" i="21"/>
  <c r="F275" i="21" s="1"/>
  <c r="L286" i="21"/>
  <c r="K286" i="21"/>
  <c r="J286" i="21"/>
  <c r="H288" i="21"/>
  <c r="I287" i="21"/>
  <c r="M287" i="21" s="1"/>
  <c r="C275" i="21" l="1"/>
  <c r="D275" i="21"/>
  <c r="E275" i="21"/>
  <c r="A277" i="21"/>
  <c r="B276" i="21"/>
  <c r="F276" i="21" s="1"/>
  <c r="L287" i="21"/>
  <c r="K287" i="21"/>
  <c r="J287" i="21"/>
  <c r="H289" i="21"/>
  <c r="I288" i="21"/>
  <c r="M288" i="21" s="1"/>
  <c r="D276" i="21" l="1"/>
  <c r="E276" i="21"/>
  <c r="C276" i="21"/>
  <c r="A278" i="21"/>
  <c r="B277" i="21"/>
  <c r="F277" i="21" s="1"/>
  <c r="H290" i="21"/>
  <c r="I289" i="21"/>
  <c r="M289" i="21" s="1"/>
  <c r="J288" i="21"/>
  <c r="K288" i="21"/>
  <c r="L288" i="21"/>
  <c r="K289" i="21" l="1"/>
  <c r="L289" i="21"/>
  <c r="J289" i="21"/>
  <c r="H291" i="21"/>
  <c r="I290" i="21"/>
  <c r="M290" i="21" s="1"/>
  <c r="C277" i="21"/>
  <c r="D277" i="21"/>
  <c r="E277" i="21"/>
  <c r="A279" i="21"/>
  <c r="B278" i="21"/>
  <c r="F278" i="21" s="1"/>
  <c r="K290" i="21" l="1"/>
  <c r="L290" i="21"/>
  <c r="J290" i="21"/>
  <c r="H292" i="21"/>
  <c r="I291" i="21"/>
  <c r="M291" i="21" s="1"/>
  <c r="C278" i="21"/>
  <c r="D278" i="21"/>
  <c r="E278" i="21"/>
  <c r="A280" i="21"/>
  <c r="B279" i="21"/>
  <c r="F279" i="21" s="1"/>
  <c r="K291" i="21" l="1"/>
  <c r="J291" i="21"/>
  <c r="L291" i="21"/>
  <c r="H293" i="21"/>
  <c r="I292" i="21"/>
  <c r="M292" i="21" s="1"/>
  <c r="C279" i="21"/>
  <c r="D279" i="21"/>
  <c r="E279" i="21"/>
  <c r="A281" i="21"/>
  <c r="B280" i="21"/>
  <c r="F280" i="21" s="1"/>
  <c r="K292" i="21" l="1"/>
  <c r="J292" i="21"/>
  <c r="L292" i="21"/>
  <c r="H294" i="21"/>
  <c r="I293" i="21"/>
  <c r="M293" i="21" s="1"/>
  <c r="D280" i="21"/>
  <c r="C280" i="21"/>
  <c r="E280" i="21"/>
  <c r="B281" i="21"/>
  <c r="F281" i="21" s="1"/>
  <c r="A282" i="21"/>
  <c r="K293" i="21" l="1"/>
  <c r="L293" i="21"/>
  <c r="J293" i="21"/>
  <c r="H295" i="21"/>
  <c r="I294" i="21"/>
  <c r="M294" i="21" s="1"/>
  <c r="A283" i="21"/>
  <c r="B282" i="21"/>
  <c r="F282" i="21" s="1"/>
  <c r="C281" i="21"/>
  <c r="D281" i="21"/>
  <c r="E281" i="21"/>
  <c r="L294" i="21" l="1"/>
  <c r="K294" i="21"/>
  <c r="J294" i="21"/>
  <c r="C282" i="21"/>
  <c r="D282" i="21"/>
  <c r="E282" i="21"/>
  <c r="A284" i="21"/>
  <c r="B283" i="21"/>
  <c r="F283" i="21" s="1"/>
  <c r="H296" i="21"/>
  <c r="I295" i="21"/>
  <c r="M295" i="21" s="1"/>
  <c r="L295" i="21" l="1"/>
  <c r="K295" i="21"/>
  <c r="J295" i="21"/>
  <c r="H297" i="21"/>
  <c r="I296" i="21"/>
  <c r="M296" i="21" s="1"/>
  <c r="C283" i="21"/>
  <c r="D283" i="21"/>
  <c r="E283" i="21"/>
  <c r="A285" i="21"/>
  <c r="B284" i="21"/>
  <c r="F284" i="21" s="1"/>
  <c r="J296" i="21" l="1"/>
  <c r="K296" i="21"/>
  <c r="L296" i="21"/>
  <c r="H298" i="21"/>
  <c r="I297" i="21"/>
  <c r="M297" i="21" s="1"/>
  <c r="D284" i="21"/>
  <c r="C284" i="21"/>
  <c r="E284" i="21"/>
  <c r="A286" i="21"/>
  <c r="B285" i="21"/>
  <c r="F285" i="21" s="1"/>
  <c r="K297" i="21" l="1"/>
  <c r="L297" i="21"/>
  <c r="J297" i="21"/>
  <c r="H299" i="21"/>
  <c r="I298" i="21"/>
  <c r="M298" i="21" s="1"/>
  <c r="C285" i="21"/>
  <c r="D285" i="21"/>
  <c r="E285" i="21"/>
  <c r="A287" i="21"/>
  <c r="B286" i="21"/>
  <c r="F286" i="21" s="1"/>
  <c r="K298" i="21" l="1"/>
  <c r="L298" i="21"/>
  <c r="J298" i="21"/>
  <c r="C286" i="21"/>
  <c r="D286" i="21"/>
  <c r="E286" i="21"/>
  <c r="H300" i="21"/>
  <c r="I299" i="21"/>
  <c r="M299" i="21" s="1"/>
  <c r="A288" i="21"/>
  <c r="B287" i="21"/>
  <c r="F287" i="21" s="1"/>
  <c r="C287" i="21" l="1"/>
  <c r="D287" i="21"/>
  <c r="E287" i="21"/>
  <c r="A289" i="21"/>
  <c r="B288" i="21"/>
  <c r="F288" i="21" s="1"/>
  <c r="L299" i="21"/>
  <c r="J299" i="21"/>
  <c r="K299" i="21"/>
  <c r="H301" i="21"/>
  <c r="I300" i="21"/>
  <c r="M300" i="21" s="1"/>
  <c r="D288" i="21" l="1"/>
  <c r="C288" i="21"/>
  <c r="E288" i="21"/>
  <c r="A290" i="21"/>
  <c r="B289" i="21"/>
  <c r="F289" i="21" s="1"/>
  <c r="K300" i="21"/>
  <c r="L300" i="21"/>
  <c r="J300" i="21"/>
  <c r="H302" i="21"/>
  <c r="I301" i="21"/>
  <c r="M301" i="21" s="1"/>
  <c r="C289" i="21" l="1"/>
  <c r="D289" i="21"/>
  <c r="E289" i="21"/>
  <c r="B290" i="21"/>
  <c r="F290" i="21" s="1"/>
  <c r="A291" i="21"/>
  <c r="H303" i="21"/>
  <c r="I302" i="21"/>
  <c r="M302" i="21" s="1"/>
  <c r="K301" i="21"/>
  <c r="L301" i="21"/>
  <c r="J301" i="21"/>
  <c r="L302" i="21" l="1"/>
  <c r="K302" i="21"/>
  <c r="J302" i="21"/>
  <c r="H304" i="21"/>
  <c r="I303" i="21"/>
  <c r="M303" i="21" s="1"/>
  <c r="A292" i="21"/>
  <c r="B291" i="21"/>
  <c r="F291" i="21" s="1"/>
  <c r="C290" i="21"/>
  <c r="D290" i="21"/>
  <c r="E290" i="21"/>
  <c r="L303" i="21" l="1"/>
  <c r="K303" i="21"/>
  <c r="J303" i="21"/>
  <c r="C291" i="21"/>
  <c r="D291" i="21"/>
  <c r="E291" i="21"/>
  <c r="B292" i="21"/>
  <c r="F292" i="21" s="1"/>
  <c r="A293" i="21"/>
  <c r="H305" i="21"/>
  <c r="I304" i="21"/>
  <c r="M304" i="21" s="1"/>
  <c r="J304" i="21" l="1"/>
  <c r="K304" i="21"/>
  <c r="L304" i="21"/>
  <c r="H306" i="21"/>
  <c r="I305" i="21"/>
  <c r="M305" i="21" s="1"/>
  <c r="B293" i="21"/>
  <c r="F293" i="21" s="1"/>
  <c r="A294" i="21"/>
  <c r="D292" i="21"/>
  <c r="E292" i="21"/>
  <c r="C292" i="21"/>
  <c r="C293" i="21" l="1"/>
  <c r="D293" i="21"/>
  <c r="E293" i="21"/>
  <c r="K305" i="21"/>
  <c r="L305" i="21"/>
  <c r="J305" i="21"/>
  <c r="A295" i="21"/>
  <c r="B294" i="21"/>
  <c r="F294" i="21" s="1"/>
  <c r="H307" i="21"/>
  <c r="I306" i="21"/>
  <c r="M306" i="21" s="1"/>
  <c r="K306" i="21" l="1"/>
  <c r="L306" i="21"/>
  <c r="J306" i="21"/>
  <c r="H308" i="21"/>
  <c r="I307" i="21"/>
  <c r="M307" i="21" s="1"/>
  <c r="C294" i="21"/>
  <c r="D294" i="21"/>
  <c r="E294" i="21"/>
  <c r="A296" i="21"/>
  <c r="B295" i="21"/>
  <c r="F295" i="21" s="1"/>
  <c r="K307" i="21" l="1"/>
  <c r="J307" i="21"/>
  <c r="L307" i="21"/>
  <c r="H309" i="21"/>
  <c r="I308" i="21"/>
  <c r="M308" i="21" s="1"/>
  <c r="C295" i="21"/>
  <c r="D295" i="21"/>
  <c r="E295" i="21"/>
  <c r="A297" i="21"/>
  <c r="B296" i="21"/>
  <c r="F296" i="21" s="1"/>
  <c r="K308" i="21" l="1"/>
  <c r="J308" i="21"/>
  <c r="L308" i="21"/>
  <c r="D296" i="21"/>
  <c r="C296" i="21"/>
  <c r="E296" i="21"/>
  <c r="H310" i="21"/>
  <c r="I309" i="21"/>
  <c r="M309" i="21" s="1"/>
  <c r="A298" i="21"/>
  <c r="B297" i="21"/>
  <c r="F297" i="21" s="1"/>
  <c r="C297" i="21" l="1"/>
  <c r="D297" i="21"/>
  <c r="E297" i="21"/>
  <c r="A299" i="21"/>
  <c r="B298" i="21"/>
  <c r="F298" i="21" s="1"/>
  <c r="K309" i="21"/>
  <c r="L309" i="21"/>
  <c r="J309" i="21"/>
  <c r="H311" i="21"/>
  <c r="I310" i="21"/>
  <c r="M310" i="21" s="1"/>
  <c r="C298" i="21" l="1"/>
  <c r="D298" i="21"/>
  <c r="E298" i="21"/>
  <c r="A300" i="21"/>
  <c r="B299" i="21"/>
  <c r="F299" i="21" s="1"/>
  <c r="L310" i="21"/>
  <c r="K310" i="21"/>
  <c r="J310" i="21"/>
  <c r="H312" i="21"/>
  <c r="I311" i="21"/>
  <c r="M311" i="21" s="1"/>
  <c r="C299" i="21" l="1"/>
  <c r="D299" i="21"/>
  <c r="E299" i="21"/>
  <c r="L311" i="21"/>
  <c r="K311" i="21"/>
  <c r="J311" i="21"/>
  <c r="A301" i="21"/>
  <c r="B300" i="21"/>
  <c r="F300" i="21" s="1"/>
  <c r="H313" i="21"/>
  <c r="I312" i="21"/>
  <c r="M312" i="21" s="1"/>
  <c r="J312" i="21" l="1"/>
  <c r="K312" i="21"/>
  <c r="L312" i="21"/>
  <c r="H314" i="21"/>
  <c r="I313" i="21"/>
  <c r="M313" i="21" s="1"/>
  <c r="D300" i="21"/>
  <c r="C300" i="21"/>
  <c r="E300" i="21"/>
  <c r="A302" i="21"/>
  <c r="B301" i="21"/>
  <c r="F301" i="21" s="1"/>
  <c r="K313" i="21" l="1"/>
  <c r="L313" i="21"/>
  <c r="J313" i="21"/>
  <c r="H315" i="21"/>
  <c r="I314" i="21"/>
  <c r="M314" i="21" s="1"/>
  <c r="C301" i="21"/>
  <c r="D301" i="21"/>
  <c r="E301" i="21"/>
  <c r="A303" i="21"/>
  <c r="B302" i="21"/>
  <c r="F302" i="21" s="1"/>
  <c r="K314" i="21" l="1"/>
  <c r="L314" i="21"/>
  <c r="J314" i="21"/>
  <c r="H316" i="21"/>
  <c r="I315" i="21"/>
  <c r="M315" i="21" s="1"/>
  <c r="D302" i="21"/>
  <c r="C302" i="21"/>
  <c r="E302" i="21"/>
  <c r="A304" i="21"/>
  <c r="B303" i="21"/>
  <c r="F303" i="21" s="1"/>
  <c r="L315" i="21" l="1"/>
  <c r="J315" i="21"/>
  <c r="K315" i="21"/>
  <c r="H317" i="21"/>
  <c r="I316" i="21"/>
  <c r="M316" i="21" s="1"/>
  <c r="C303" i="21"/>
  <c r="D303" i="21"/>
  <c r="E303" i="21"/>
  <c r="A305" i="21"/>
  <c r="B304" i="21"/>
  <c r="F304" i="21" s="1"/>
  <c r="D304" i="21" l="1"/>
  <c r="E304" i="21"/>
  <c r="C304" i="21"/>
  <c r="K316" i="21"/>
  <c r="L316" i="21"/>
  <c r="J316" i="21"/>
  <c r="H318" i="21"/>
  <c r="I317" i="21"/>
  <c r="M317" i="21" s="1"/>
  <c r="A306" i="21"/>
  <c r="B305" i="21"/>
  <c r="F305" i="21" s="1"/>
  <c r="C305" i="21" l="1"/>
  <c r="D305" i="21"/>
  <c r="E305" i="21"/>
  <c r="H319" i="21"/>
  <c r="I318" i="21"/>
  <c r="M318" i="21" s="1"/>
  <c r="A307" i="21"/>
  <c r="B306" i="21"/>
  <c r="F306" i="21" s="1"/>
  <c r="K317" i="21"/>
  <c r="L317" i="21"/>
  <c r="J317" i="21"/>
  <c r="A308" i="21" l="1"/>
  <c r="B307" i="21"/>
  <c r="F307" i="21" s="1"/>
  <c r="L318" i="21"/>
  <c r="K318" i="21"/>
  <c r="J318" i="21"/>
  <c r="D306" i="21"/>
  <c r="C306" i="21"/>
  <c r="E306" i="21"/>
  <c r="H320" i="21"/>
  <c r="I319" i="21"/>
  <c r="M319" i="21" s="1"/>
  <c r="H321" i="21" l="1"/>
  <c r="I320" i="21"/>
  <c r="M320" i="21" s="1"/>
  <c r="L319" i="21"/>
  <c r="J319" i="21"/>
  <c r="K319" i="21"/>
  <c r="C307" i="21"/>
  <c r="D307" i="21"/>
  <c r="E307" i="21"/>
  <c r="A309" i="21"/>
  <c r="B308" i="21"/>
  <c r="F308" i="21" s="1"/>
  <c r="D308" i="21" l="1"/>
  <c r="C308" i="21"/>
  <c r="E308" i="21"/>
  <c r="H322" i="21"/>
  <c r="I321" i="21"/>
  <c r="M321" i="21" s="1"/>
  <c r="A310" i="21"/>
  <c r="B309" i="21"/>
  <c r="F309" i="21" s="1"/>
  <c r="J320" i="21"/>
  <c r="K320" i="21"/>
  <c r="L320" i="21"/>
  <c r="K321" i="21" l="1"/>
  <c r="L321" i="21"/>
  <c r="J321" i="21"/>
  <c r="C309" i="21"/>
  <c r="D309" i="21"/>
  <c r="E309" i="21"/>
  <c r="A311" i="21"/>
  <c r="B310" i="21"/>
  <c r="F310" i="21" s="1"/>
  <c r="H323" i="21"/>
  <c r="I322" i="21"/>
  <c r="M322" i="21" s="1"/>
  <c r="K322" i="21" l="1"/>
  <c r="L322" i="21"/>
  <c r="J322" i="21"/>
  <c r="H324" i="21"/>
  <c r="I323" i="21"/>
  <c r="M323" i="21" s="1"/>
  <c r="D310" i="21"/>
  <c r="C310" i="21"/>
  <c r="E310" i="21"/>
  <c r="A312" i="21"/>
  <c r="B311" i="21"/>
  <c r="F311" i="21" s="1"/>
  <c r="K323" i="21" l="1"/>
  <c r="J323" i="21"/>
  <c r="L323" i="21"/>
  <c r="C311" i="21"/>
  <c r="D311" i="21"/>
  <c r="E311" i="21"/>
  <c r="H325" i="21"/>
  <c r="I324" i="21"/>
  <c r="M324" i="21" s="1"/>
  <c r="A313" i="21"/>
  <c r="B312" i="21"/>
  <c r="F312" i="21" s="1"/>
  <c r="A314" i="21" l="1"/>
  <c r="B313" i="21"/>
  <c r="F313" i="21" s="1"/>
  <c r="K324" i="21"/>
  <c r="J324" i="21"/>
  <c r="L324" i="21"/>
  <c r="D312" i="21"/>
  <c r="E312" i="21"/>
  <c r="C312" i="21"/>
  <c r="H326" i="21"/>
  <c r="I325" i="21"/>
  <c r="M325" i="21" s="1"/>
  <c r="K325" i="21" l="1"/>
  <c r="L325" i="21"/>
  <c r="J325" i="21"/>
  <c r="H327" i="21"/>
  <c r="I326" i="21"/>
  <c r="M326" i="21" s="1"/>
  <c r="C313" i="21"/>
  <c r="D313" i="21"/>
  <c r="E313" i="21"/>
  <c r="A315" i="21"/>
  <c r="B314" i="21"/>
  <c r="F314" i="21" s="1"/>
  <c r="L326" i="21" l="1"/>
  <c r="K326" i="21"/>
  <c r="J326" i="21"/>
  <c r="H328" i="21"/>
  <c r="I327" i="21"/>
  <c r="M327" i="21" s="1"/>
  <c r="D314" i="21"/>
  <c r="C314" i="21"/>
  <c r="E314" i="21"/>
  <c r="A316" i="21"/>
  <c r="B315" i="21"/>
  <c r="F315" i="21" s="1"/>
  <c r="L327" i="21" l="1"/>
  <c r="K327" i="21"/>
  <c r="J327" i="21"/>
  <c r="H329" i="21"/>
  <c r="I328" i="21"/>
  <c r="M328" i="21" s="1"/>
  <c r="C315" i="21"/>
  <c r="D315" i="21"/>
  <c r="E315" i="21"/>
  <c r="A317" i="21"/>
  <c r="B316" i="21"/>
  <c r="F316" i="21" s="1"/>
  <c r="D316" i="21" l="1"/>
  <c r="C316" i="21"/>
  <c r="E316" i="21"/>
  <c r="J328" i="21"/>
  <c r="K328" i="21"/>
  <c r="L328" i="21"/>
  <c r="H330" i="21"/>
  <c r="I329" i="21"/>
  <c r="M329" i="21" s="1"/>
  <c r="A318" i="21"/>
  <c r="B317" i="21"/>
  <c r="F317" i="21" s="1"/>
  <c r="C317" i="21" l="1"/>
  <c r="D317" i="21"/>
  <c r="E317" i="21"/>
  <c r="A319" i="21"/>
  <c r="B318" i="21"/>
  <c r="F318" i="21" s="1"/>
  <c r="K329" i="21"/>
  <c r="L329" i="21"/>
  <c r="J329" i="21"/>
  <c r="H331" i="21"/>
  <c r="I330" i="21"/>
  <c r="M330" i="21" s="1"/>
  <c r="D318" i="21" l="1"/>
  <c r="C318" i="21"/>
  <c r="E318" i="21"/>
  <c r="B319" i="21"/>
  <c r="F319" i="21" s="1"/>
  <c r="A320" i="21"/>
  <c r="K330" i="21"/>
  <c r="L330" i="21"/>
  <c r="J330" i="21"/>
  <c r="H332" i="21"/>
  <c r="I331" i="21"/>
  <c r="M331" i="21" s="1"/>
  <c r="A321" i="21" l="1"/>
  <c r="B320" i="21"/>
  <c r="F320" i="21" s="1"/>
  <c r="C319" i="21"/>
  <c r="D319" i="21"/>
  <c r="E319" i="21"/>
  <c r="L331" i="21"/>
  <c r="J331" i="21"/>
  <c r="K331" i="21"/>
  <c r="H333" i="21"/>
  <c r="I332" i="21"/>
  <c r="M332" i="21" s="1"/>
  <c r="K332" i="21" l="1"/>
  <c r="L332" i="21"/>
  <c r="J332" i="21"/>
  <c r="H334" i="21"/>
  <c r="I333" i="21"/>
  <c r="M333" i="21" s="1"/>
  <c r="D320" i="21"/>
  <c r="E320" i="21"/>
  <c r="C320" i="21"/>
  <c r="A322" i="21"/>
  <c r="B321" i="21"/>
  <c r="F321" i="21" s="1"/>
  <c r="K333" i="21" l="1"/>
  <c r="L333" i="21"/>
  <c r="J333" i="21"/>
  <c r="H335" i="21"/>
  <c r="I334" i="21"/>
  <c r="M334" i="21" s="1"/>
  <c r="C321" i="21"/>
  <c r="D321" i="21"/>
  <c r="E321" i="21"/>
  <c r="A323" i="21"/>
  <c r="B322" i="21"/>
  <c r="F322" i="21" s="1"/>
  <c r="L334" i="21" l="1"/>
  <c r="K334" i="21"/>
  <c r="J334" i="21"/>
  <c r="H336" i="21"/>
  <c r="I335" i="21"/>
  <c r="M335" i="21" s="1"/>
  <c r="D322" i="21"/>
  <c r="C322" i="21"/>
  <c r="E322" i="21"/>
  <c r="A324" i="21"/>
  <c r="B323" i="21"/>
  <c r="F323" i="21" s="1"/>
  <c r="A325" i="21" l="1"/>
  <c r="B324" i="21"/>
  <c r="F324" i="21" s="1"/>
  <c r="L335" i="21"/>
  <c r="J335" i="21"/>
  <c r="K335" i="21"/>
  <c r="H337" i="21"/>
  <c r="I336" i="21"/>
  <c r="M336" i="21" s="1"/>
  <c r="C323" i="21"/>
  <c r="D323" i="21"/>
  <c r="E323" i="21"/>
  <c r="J336" i="21" l="1"/>
  <c r="K336" i="21"/>
  <c r="L336" i="21"/>
  <c r="H338" i="21"/>
  <c r="I337" i="21"/>
  <c r="M337" i="21" s="1"/>
  <c r="D324" i="21"/>
  <c r="C324" i="21"/>
  <c r="E324" i="21"/>
  <c r="A326" i="21"/>
  <c r="B325" i="21"/>
  <c r="F325" i="21" s="1"/>
  <c r="K337" i="21" l="1"/>
  <c r="L337" i="21"/>
  <c r="J337" i="21"/>
  <c r="H339" i="21"/>
  <c r="I338" i="21"/>
  <c r="M338" i="21" s="1"/>
  <c r="C325" i="21"/>
  <c r="D325" i="21"/>
  <c r="E325" i="21"/>
  <c r="A327" i="21"/>
  <c r="B326" i="21"/>
  <c r="F326" i="21" s="1"/>
  <c r="K338" i="21" l="1"/>
  <c r="L338" i="21"/>
  <c r="J338" i="21"/>
  <c r="H340" i="21"/>
  <c r="I339" i="21"/>
  <c r="M339" i="21" s="1"/>
  <c r="D326" i="21"/>
  <c r="C326" i="21"/>
  <c r="E326" i="21"/>
  <c r="A328" i="21"/>
  <c r="B327" i="21"/>
  <c r="F327" i="21" s="1"/>
  <c r="K339" i="21" l="1"/>
  <c r="J339" i="21"/>
  <c r="L339" i="21"/>
  <c r="H341" i="21"/>
  <c r="I340" i="21"/>
  <c r="M340" i="21" s="1"/>
  <c r="C327" i="21"/>
  <c r="D327" i="21"/>
  <c r="E327" i="21"/>
  <c r="A329" i="21"/>
  <c r="B328" i="21"/>
  <c r="F328" i="21" s="1"/>
  <c r="A330" i="21" l="1"/>
  <c r="B329" i="21"/>
  <c r="F329" i="21" s="1"/>
  <c r="K340" i="21"/>
  <c r="J340" i="21"/>
  <c r="L340" i="21"/>
  <c r="H342" i="21"/>
  <c r="I341" i="21"/>
  <c r="M341" i="21" s="1"/>
  <c r="D328" i="21"/>
  <c r="E328" i="21"/>
  <c r="C328" i="21"/>
  <c r="H343" i="21" l="1"/>
  <c r="I342" i="21"/>
  <c r="M342" i="21" s="1"/>
  <c r="K341" i="21"/>
  <c r="L341" i="21"/>
  <c r="J341" i="21"/>
  <c r="C329" i="21"/>
  <c r="D329" i="21"/>
  <c r="E329" i="21"/>
  <c r="A331" i="21"/>
  <c r="B330" i="21"/>
  <c r="F330" i="21" s="1"/>
  <c r="D330" i="21" l="1"/>
  <c r="C330" i="21"/>
  <c r="E330" i="21"/>
  <c r="A332" i="21"/>
  <c r="B331" i="21"/>
  <c r="F331" i="21" s="1"/>
  <c r="L342" i="21"/>
  <c r="K342" i="21"/>
  <c r="J342" i="21"/>
  <c r="H344" i="21"/>
  <c r="I343" i="21"/>
  <c r="M343" i="21" s="1"/>
  <c r="C331" i="21" l="1"/>
  <c r="D331" i="21"/>
  <c r="E331" i="21"/>
  <c r="A333" i="21"/>
  <c r="B332" i="21"/>
  <c r="F332" i="21" s="1"/>
  <c r="L343" i="21"/>
  <c r="K343" i="21"/>
  <c r="J343" i="21"/>
  <c r="H345" i="21"/>
  <c r="I344" i="21"/>
  <c r="M344" i="21" s="1"/>
  <c r="D332" i="21" l="1"/>
  <c r="C332" i="21"/>
  <c r="E332" i="21"/>
  <c r="A334" i="21"/>
  <c r="B333" i="21"/>
  <c r="F333" i="21" s="1"/>
  <c r="J344" i="21"/>
  <c r="K344" i="21"/>
  <c r="L344" i="21"/>
  <c r="H346" i="21"/>
  <c r="I345" i="21"/>
  <c r="M345" i="21" s="1"/>
  <c r="C333" i="21" l="1"/>
  <c r="D333" i="21"/>
  <c r="E333" i="21"/>
  <c r="A335" i="21"/>
  <c r="B334" i="21"/>
  <c r="F334" i="21" s="1"/>
  <c r="K345" i="21"/>
  <c r="L345" i="21"/>
  <c r="J345" i="21"/>
  <c r="H347" i="21"/>
  <c r="I346" i="21"/>
  <c r="M346" i="21" s="1"/>
  <c r="H348" i="21" l="1"/>
  <c r="I347" i="21"/>
  <c r="M347" i="21" s="1"/>
  <c r="D334" i="21"/>
  <c r="C334" i="21"/>
  <c r="E334" i="21"/>
  <c r="A336" i="21"/>
  <c r="B335" i="21"/>
  <c r="F335" i="21" s="1"/>
  <c r="K346" i="21"/>
  <c r="L346" i="21"/>
  <c r="J346" i="21"/>
  <c r="A337" i="21" l="1"/>
  <c r="B336" i="21"/>
  <c r="F336" i="21" s="1"/>
  <c r="C335" i="21"/>
  <c r="D335" i="21"/>
  <c r="E335" i="21"/>
  <c r="L347" i="21"/>
  <c r="J347" i="21"/>
  <c r="K347" i="21"/>
  <c r="H349" i="21"/>
  <c r="I348" i="21"/>
  <c r="M348" i="21" s="1"/>
  <c r="H350" i="21" l="1"/>
  <c r="I349" i="21"/>
  <c r="M349" i="21" s="1"/>
  <c r="K348" i="21"/>
  <c r="L348" i="21"/>
  <c r="J348" i="21"/>
  <c r="D336" i="21"/>
  <c r="E336" i="21"/>
  <c r="C336" i="21"/>
  <c r="A338" i="21"/>
  <c r="B337" i="21"/>
  <c r="F337" i="21" s="1"/>
  <c r="C337" i="21" l="1"/>
  <c r="D337" i="21"/>
  <c r="E337" i="21"/>
  <c r="A339" i="21"/>
  <c r="B338" i="21"/>
  <c r="F338" i="21" s="1"/>
  <c r="K349" i="21"/>
  <c r="L349" i="21"/>
  <c r="J349" i="21"/>
  <c r="H351" i="21"/>
  <c r="I350" i="21"/>
  <c r="M350" i="21" s="1"/>
  <c r="D338" i="21" l="1"/>
  <c r="C338" i="21"/>
  <c r="E338" i="21"/>
  <c r="A340" i="21"/>
  <c r="B339" i="21"/>
  <c r="F339" i="21" s="1"/>
  <c r="L350" i="21"/>
  <c r="K350" i="21"/>
  <c r="J350" i="21"/>
  <c r="H352" i="21"/>
  <c r="I351" i="21"/>
  <c r="M351" i="21" s="1"/>
  <c r="C339" i="21" l="1"/>
  <c r="D339" i="21"/>
  <c r="E339" i="21"/>
  <c r="A341" i="21"/>
  <c r="B340" i="21"/>
  <c r="F340" i="21" s="1"/>
  <c r="L351" i="21"/>
  <c r="J351" i="21"/>
  <c r="K351" i="21"/>
  <c r="H353" i="21"/>
  <c r="I352" i="21"/>
  <c r="M352" i="21" s="1"/>
  <c r="D340" i="21" l="1"/>
  <c r="C340" i="21"/>
  <c r="E340" i="21"/>
  <c r="A342" i="21"/>
  <c r="B341" i="21"/>
  <c r="F341" i="21" s="1"/>
  <c r="J352" i="21"/>
  <c r="K352" i="21"/>
  <c r="L352" i="21"/>
  <c r="H354" i="21"/>
  <c r="I353" i="21"/>
  <c r="M353" i="21" s="1"/>
  <c r="C341" i="21" l="1"/>
  <c r="D341" i="21"/>
  <c r="E341" i="21"/>
  <c r="A343" i="21"/>
  <c r="B342" i="21"/>
  <c r="F342" i="21" s="1"/>
  <c r="K353" i="21"/>
  <c r="L353" i="21"/>
  <c r="J353" i="21"/>
  <c r="H355" i="21"/>
  <c r="I354" i="21"/>
  <c r="M354" i="21" s="1"/>
  <c r="D342" i="21" l="1"/>
  <c r="C342" i="21"/>
  <c r="E342" i="21"/>
  <c r="A344" i="21"/>
  <c r="B343" i="21"/>
  <c r="F343" i="21" s="1"/>
  <c r="K354" i="21"/>
  <c r="L354" i="21"/>
  <c r="J354" i="21"/>
  <c r="H356" i="21"/>
  <c r="I355" i="21"/>
  <c r="M355" i="21" s="1"/>
  <c r="C343" i="21" l="1"/>
  <c r="D343" i="21"/>
  <c r="E343" i="21"/>
  <c r="A345" i="21"/>
  <c r="B344" i="21"/>
  <c r="F344" i="21" s="1"/>
  <c r="K355" i="21"/>
  <c r="J355" i="21"/>
  <c r="L355" i="21"/>
  <c r="H357" i="21"/>
  <c r="I356" i="21"/>
  <c r="M356" i="21" s="1"/>
  <c r="D344" i="21" l="1"/>
  <c r="E344" i="21"/>
  <c r="C344" i="21"/>
  <c r="A346" i="21"/>
  <c r="B345" i="21"/>
  <c r="F345" i="21" s="1"/>
  <c r="K356" i="21"/>
  <c r="J356" i="21"/>
  <c r="L356" i="21"/>
  <c r="H358" i="21"/>
  <c r="I357" i="21"/>
  <c r="M357" i="21" s="1"/>
  <c r="C345" i="21" l="1"/>
  <c r="D345" i="21"/>
  <c r="E345" i="21"/>
  <c r="A347" i="21"/>
  <c r="B346" i="21"/>
  <c r="F346" i="21" s="1"/>
  <c r="K357" i="21"/>
  <c r="L357" i="21"/>
  <c r="J357" i="21"/>
  <c r="H359" i="21"/>
  <c r="I358" i="21"/>
  <c r="M358" i="21" s="1"/>
  <c r="D346" i="21" l="1"/>
  <c r="C346" i="21"/>
  <c r="E346" i="21"/>
  <c r="B347" i="21"/>
  <c r="F347" i="21" s="1"/>
  <c r="A348" i="21"/>
  <c r="L358" i="21"/>
  <c r="K358" i="21"/>
  <c r="J358" i="21"/>
  <c r="H360" i="21"/>
  <c r="I359" i="21"/>
  <c r="M359" i="21" s="1"/>
  <c r="B348" i="21" l="1"/>
  <c r="F348" i="21" s="1"/>
  <c r="A349" i="21"/>
  <c r="C347" i="21"/>
  <c r="D347" i="21"/>
  <c r="E347" i="21"/>
  <c r="L359" i="21"/>
  <c r="K359" i="21"/>
  <c r="J359" i="21"/>
  <c r="H361" i="21"/>
  <c r="I360" i="21"/>
  <c r="M360" i="21" s="1"/>
  <c r="J360" i="21" l="1"/>
  <c r="K360" i="21"/>
  <c r="L360" i="21"/>
  <c r="H362" i="21"/>
  <c r="I361" i="21"/>
  <c r="M361" i="21" s="1"/>
  <c r="A350" i="21"/>
  <c r="B349" i="21"/>
  <c r="F349" i="21" s="1"/>
  <c r="D348" i="21"/>
  <c r="C348" i="21"/>
  <c r="E348" i="21"/>
  <c r="K361" i="21" l="1"/>
  <c r="J361" i="21"/>
  <c r="L361" i="21"/>
  <c r="C349" i="21"/>
  <c r="D349" i="21"/>
  <c r="E349" i="21"/>
  <c r="A351" i="21"/>
  <c r="B350" i="21"/>
  <c r="F350" i="21" s="1"/>
  <c r="H363" i="21"/>
  <c r="I362" i="21"/>
  <c r="M362" i="21" s="1"/>
  <c r="K362" i="21" l="1"/>
  <c r="L362" i="21"/>
  <c r="J362" i="21"/>
  <c r="H364" i="21"/>
  <c r="I363" i="21"/>
  <c r="M363" i="21" s="1"/>
  <c r="D350" i="21"/>
  <c r="C350" i="21"/>
  <c r="E350" i="21"/>
  <c r="A352" i="21"/>
  <c r="B351" i="21"/>
  <c r="F351" i="21" s="1"/>
  <c r="J363" i="21" l="1"/>
  <c r="K363" i="21"/>
  <c r="L363" i="21"/>
  <c r="H365" i="21"/>
  <c r="I364" i="21"/>
  <c r="M364" i="21" s="1"/>
  <c r="C351" i="21"/>
  <c r="D351" i="21"/>
  <c r="E351" i="21"/>
  <c r="A353" i="21"/>
  <c r="B352" i="21"/>
  <c r="F352" i="21" s="1"/>
  <c r="J364" i="21" l="1"/>
  <c r="K364" i="21"/>
  <c r="L364" i="21"/>
  <c r="H366" i="21"/>
  <c r="I365" i="21"/>
  <c r="M365" i="21" s="1"/>
  <c r="D352" i="21"/>
  <c r="E352" i="21"/>
  <c r="C352" i="21"/>
  <c r="A354" i="21"/>
  <c r="B353" i="21"/>
  <c r="F353" i="21" s="1"/>
  <c r="K365" i="21" l="1"/>
  <c r="L365" i="21"/>
  <c r="J365" i="21"/>
  <c r="H367" i="21"/>
  <c r="I366" i="21"/>
  <c r="M366" i="21" s="1"/>
  <c r="C353" i="21"/>
  <c r="D353" i="21"/>
  <c r="E353" i="21"/>
  <c r="A355" i="21"/>
  <c r="B354" i="21"/>
  <c r="F354" i="21" s="1"/>
  <c r="L366" i="21" l="1"/>
  <c r="K366" i="21"/>
  <c r="J366" i="21"/>
  <c r="H368" i="21"/>
  <c r="I368" i="21" s="1"/>
  <c r="M368" i="21" s="1"/>
  <c r="I367" i="21"/>
  <c r="M367" i="21" s="1"/>
  <c r="D354" i="21"/>
  <c r="C354" i="21"/>
  <c r="E354" i="21"/>
  <c r="A356" i="21"/>
  <c r="B355" i="21"/>
  <c r="F355" i="21" s="1"/>
  <c r="K367" i="21" l="1"/>
  <c r="J367" i="21"/>
  <c r="L367" i="21"/>
  <c r="J368" i="21"/>
  <c r="K368" i="21"/>
  <c r="L368" i="21"/>
  <c r="C355" i="21"/>
  <c r="D355" i="21"/>
  <c r="E355" i="21"/>
  <c r="A357" i="21"/>
  <c r="B356" i="21"/>
  <c r="F356" i="21" s="1"/>
  <c r="D356" i="21" l="1"/>
  <c r="C356" i="21"/>
  <c r="E356" i="21"/>
  <c r="A358" i="21"/>
  <c r="B357" i="21"/>
  <c r="F357" i="21" s="1"/>
  <c r="C357" i="21" l="1"/>
  <c r="D357" i="21"/>
  <c r="E357" i="21"/>
  <c r="A359" i="21"/>
  <c r="B358" i="21"/>
  <c r="F358" i="21" s="1"/>
  <c r="D358" i="21" l="1"/>
  <c r="C358" i="21"/>
  <c r="E358" i="21"/>
  <c r="A360" i="21"/>
  <c r="B359" i="21"/>
  <c r="F359" i="21" s="1"/>
  <c r="C359" i="21" l="1"/>
  <c r="D359" i="21"/>
  <c r="E359" i="21"/>
  <c r="B360" i="21"/>
  <c r="F360" i="21" s="1"/>
  <c r="A361" i="21"/>
  <c r="A362" i="21" l="1"/>
  <c r="B361" i="21"/>
  <c r="F361" i="21" s="1"/>
  <c r="D360" i="21"/>
  <c r="E360" i="21"/>
  <c r="C360" i="21"/>
  <c r="C361" i="21" l="1"/>
  <c r="D361" i="21"/>
  <c r="E361" i="21"/>
  <c r="A363" i="21"/>
  <c r="B362" i="21"/>
  <c r="F362" i="21" s="1"/>
  <c r="D362" i="21" l="1"/>
  <c r="C362" i="21"/>
  <c r="E362" i="21"/>
  <c r="A364" i="21"/>
  <c r="B363" i="21"/>
  <c r="F363" i="21" s="1"/>
  <c r="C363" i="21" l="1"/>
  <c r="D363" i="21"/>
  <c r="E363" i="21"/>
  <c r="A365" i="21"/>
  <c r="B364" i="21"/>
  <c r="F364" i="21" s="1"/>
  <c r="D364" i="21" l="1"/>
  <c r="C364" i="21"/>
  <c r="E364" i="21"/>
  <c r="A366" i="21"/>
  <c r="B365" i="21"/>
  <c r="F365" i="21" s="1"/>
  <c r="C365" i="21" l="1"/>
  <c r="D365" i="21"/>
  <c r="E365" i="21"/>
  <c r="A367" i="21"/>
  <c r="B366" i="21"/>
  <c r="F366" i="21" s="1"/>
  <c r="D366" i="21" l="1"/>
  <c r="C366" i="21"/>
  <c r="E366" i="21"/>
  <c r="A368" i="21"/>
  <c r="B368" i="21" s="1"/>
  <c r="F368" i="21" s="1"/>
  <c r="B367" i="21"/>
  <c r="F367" i="21" s="1"/>
  <c r="C367" i="21" l="1"/>
  <c r="D367" i="21"/>
  <c r="E367" i="21"/>
  <c r="D368" i="21"/>
  <c r="E368" i="21"/>
  <c r="C36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tc={4A0CC0DA-6623-4115-B60A-38E5EC6CE394}</author>
  </authors>
  <commentList>
    <comment ref="C11" authorId="0" shapeId="0" xr:uid="{A15F862D-944E-4E3B-B2ED-F4101CBC2539}">
      <text>
        <r>
          <rPr>
            <sz val="10"/>
            <color rgb="FF000000"/>
            <rFont val="Aptos Narrow"/>
            <family val="2"/>
            <scheme val="minor"/>
          </rPr>
          <t>Open ended, all countries where employees work
	-Nichole Arbino
Stays in GNRL
	-Nichole Arbino</t>
        </r>
      </text>
    </comment>
    <comment ref="C49" authorId="1" shapeId="0" xr:uid="{4A0CC0DA-6623-4115-B60A-38E5EC6CE394}">
      <text>
        <t>[Threaded comment]
Your version of Excel allows you to read this threaded comment; however, any edits to it will get removed if the file is opened in a newer version of Excel. Learn more: https://go.microsoft.com/fwlink/?linkid=870924
Comment:
    This question will be reworded with a preferred answer of no. That is reflected in column T, but the new verbiage should come Monday.</t>
      </text>
    </comment>
  </commentList>
</comments>
</file>

<file path=xl/sharedStrings.xml><?xml version="1.0" encoding="utf-8"?>
<sst xmlns="http://schemas.openxmlformats.org/spreadsheetml/2006/main" count="6345" uniqueCount="2153">
  <si>
    <t>New ID</t>
  </si>
  <si>
    <t>Question</t>
  </si>
  <si>
    <t>Start</t>
  </si>
  <si>
    <t>Org</t>
  </si>
  <si>
    <t>Product</t>
  </si>
  <si>
    <t>Infra</t>
  </si>
  <si>
    <t>Access</t>
  </si>
  <si>
    <t>Case</t>
  </si>
  <si>
    <t>AI</t>
  </si>
  <si>
    <t>Privacy</t>
  </si>
  <si>
    <t>Score Mapping</t>
  </si>
  <si>
    <t>Score Location</t>
  </si>
  <si>
    <t>Additional Info</t>
  </si>
  <si>
    <t>If/then</t>
  </si>
  <si>
    <t>Standard Guidance</t>
  </si>
  <si>
    <t>No Guidance</t>
  </si>
  <si>
    <t>Yes Guidance</t>
  </si>
  <si>
    <t>Reason for Question</t>
  </si>
  <si>
    <t>Compliant</t>
  </si>
  <si>
    <t>Default Importance</t>
  </si>
  <si>
    <t>Default Weight</t>
  </si>
  <si>
    <t>GNRL-01</t>
  </si>
  <si>
    <t>NA</t>
  </si>
  <si>
    <t>Not Scored</t>
  </si>
  <si>
    <t>GNRL-02</t>
  </si>
  <si>
    <t>GNRL-03</t>
  </si>
  <si>
    <t>GNRL-04</t>
  </si>
  <si>
    <t>GNRL-05</t>
  </si>
  <si>
    <t>GNRL-06</t>
  </si>
  <si>
    <t>GNRL-07</t>
  </si>
  <si>
    <t>GNRL-08</t>
  </si>
  <si>
    <t>Country of Company Headquarters</t>
  </si>
  <si>
    <t>GNRL-09</t>
  </si>
  <si>
    <t>Employee Work Locations (all)</t>
  </si>
  <si>
    <t>Follow-up inquiries will be institution/implementation specific.</t>
  </si>
  <si>
    <t>COMP-01</t>
  </si>
  <si>
    <t>Describe your organization’s business background and ownership structure, including all parent and subsidiary relationships.</t>
  </si>
  <si>
    <t>Neutral until evaluated</t>
  </si>
  <si>
    <t>Start Here</t>
  </si>
  <si>
    <t>Include circumstances that may involve offshoring or multinational agreements.</t>
  </si>
  <si>
    <t>Yes</t>
  </si>
  <si>
    <t>Minor Importance</t>
  </si>
  <si>
    <t>COMP-02</t>
  </si>
  <si>
    <t>Provide a detailed summary of the unplanned disruption.</t>
  </si>
  <si>
    <t>COMP-03</t>
  </si>
  <si>
    <t>COMP-04</t>
  </si>
  <si>
    <t>Critical Importance</t>
  </si>
  <si>
    <t>COMP-05</t>
  </si>
  <si>
    <t>REQU-01</t>
  </si>
  <si>
    <t>DO NOT complete the Product and Infrastructure worksheets</t>
  </si>
  <si>
    <t>DO complete the Product and Infrastructure worksheets</t>
  </si>
  <si>
    <t>REQU-02</t>
  </si>
  <si>
    <t>DO NOT complete the IT Accessibility worksheet.</t>
  </si>
  <si>
    <t>DO complete the IT Accessibility worksheet.</t>
  </si>
  <si>
    <t>REQU-03</t>
  </si>
  <si>
    <t>Are you providing consulting services?</t>
  </si>
  <si>
    <t>DO NOT complete the Consulting section in the Case-Specific worksheet</t>
  </si>
  <si>
    <t>DO complete the Consulting section in the Case-Specific worksheet</t>
  </si>
  <si>
    <t>REQU-04</t>
  </si>
  <si>
    <t>DO NOT complete the Artificial Intelligence (AI) worksheet</t>
  </si>
  <si>
    <t>DO complete the Artificial Intelligence (AI) worksheet</t>
  </si>
  <si>
    <t>REQU-05</t>
  </si>
  <si>
    <t>DO NOT complete the HIPAA section in the Case-Specific worksheet</t>
  </si>
  <si>
    <t>DO complete the HIPAA section in the Case-Specific worksheet</t>
  </si>
  <si>
    <t>REQU-06</t>
  </si>
  <si>
    <t>DO NOT complete the PCI-DSS section in the Case-Specific worksheet</t>
  </si>
  <si>
    <t>DO complete the PCI-DSS section in the Case-Specific worksheet</t>
  </si>
  <si>
    <t>REQU-07</t>
  </si>
  <si>
    <t>DO NOT complete the On-Prem section in the Case-Specific worksheet</t>
  </si>
  <si>
    <t>DO complete the On-Prem section in the Case-Specific worksheet</t>
  </si>
  <si>
    <t>DOCU-01</t>
  </si>
  <si>
    <t>Have you undergone a SSAE 18/SOC 2 audit?</t>
  </si>
  <si>
    <t>Additional Information</t>
  </si>
  <si>
    <t>Describe any plans to undergo a SSAE 18 audit.</t>
  </si>
  <si>
    <t>Follow-up inquiries for SSAE 18 content will be institution/implementation specific.</t>
  </si>
  <si>
    <t>Standard Importance</t>
  </si>
  <si>
    <t>DOCU-02</t>
  </si>
  <si>
    <t>DOCU-03</t>
  </si>
  <si>
    <t>Describe any plans to conform to an industry standard security framework.</t>
  </si>
  <si>
    <t>Provide documentation on how your organization conforms to your chosen framework and indicate current certification levels, where appropriate.</t>
  </si>
  <si>
    <t>DOCU-04</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</si>
  <si>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</si>
  <si>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</si>
  <si>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</si>
  <si>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DOCU-05</t>
  </si>
  <si>
    <t>Does your organization have a data privacy policy?</t>
  </si>
  <si>
    <t>Describe your plans to create a data privacy policy.</t>
  </si>
  <si>
    <t>Provide your data privacy document (or a valid link to it) upon submission.</t>
  </si>
  <si>
    <t>DOCU-06</t>
  </si>
  <si>
    <t>Do you have a documented, and currently implemented, employee onboarding and offboarding policy?</t>
  </si>
  <si>
    <t>Briefly summarize your response.</t>
  </si>
  <si>
    <t>Provide a reference to your employee onboarding and offboarding policy and supporting documentation or submit it along with this fully populated HECVAT.</t>
  </si>
  <si>
    <t>DOCU-07</t>
  </si>
  <si>
    <t>ITAC-01</t>
  </si>
  <si>
    <t>ITAC-02</t>
  </si>
  <si>
    <t>ITAC-03</t>
  </si>
  <si>
    <t>ITAC-04</t>
  </si>
  <si>
    <t>ITAC-05</t>
  </si>
  <si>
    <t>IT Accessibility</t>
  </si>
  <si>
    <t>Please state your plans (when and by whom) to complete a VPAT.</t>
  </si>
  <si>
    <t>State the date the VPAT was completed. Include this VPAT in your submission and/or link to its web location.</t>
  </si>
  <si>
    <t>ITAC-06</t>
  </si>
  <si>
    <t>Web Link to Accessibility Statement or VPAT</t>
  </si>
  <si>
    <t>ITAC-07</t>
  </si>
  <si>
    <t>Provide plans for any documentation that would make accessible content, features, and functions easily knowable by end users.</t>
  </si>
  <si>
    <t>Provide examples with links where possible.</t>
  </si>
  <si>
    <t>ITAC-08</t>
  </si>
  <si>
    <t>State when the audit was conducted and by whom. Include the results in your submission and/or link to its web location.</t>
  </si>
  <si>
    <t>ITAC-09</t>
  </si>
  <si>
    <t>Do you have a documented and implemented process for verifying accessibility conformance?</t>
  </si>
  <si>
    <t>Describe your processes and methodologies for validating accessibility conformance.</t>
  </si>
  <si>
    <t>ITAC-10</t>
  </si>
  <si>
    <t>ITAC-11</t>
  </si>
  <si>
    <t>ITAC-12</t>
  </si>
  <si>
    <t>ITAC-13</t>
  </si>
  <si>
    <t>Can you provide a current, detailed accessibility roadmap with delivery timelines?</t>
  </si>
  <si>
    <t>ITAC-14</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</si>
  <si>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</si>
  <si>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</si>
  <si>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</si>
  <si>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ITAC-15</t>
  </si>
  <si>
    <t>State how users should report accessibility issues. Describe any expected related process updates.</t>
  </si>
  <si>
    <t>Describe the process and any recent examples of fixes as a result of the process.</t>
  </si>
  <si>
    <t>ITAC-16</t>
  </si>
  <si>
    <t>Do you have documented processes and procedures for implementing accessibility into your development lifecycle?</t>
  </si>
  <si>
    <t>Describe any plans to update processes and procedures to better incorporate accessibility.</t>
  </si>
  <si>
    <t>ITAC-17</t>
  </si>
  <si>
    <t>Can all functions of the application or service be performed using only the keyboard?</t>
  </si>
  <si>
    <t>State when and on which platform this was verified.</t>
  </si>
  <si>
    <t>ITAC-18</t>
  </si>
  <si>
    <t>THRD-01</t>
  </si>
  <si>
    <t>Organization</t>
  </si>
  <si>
    <t>State your plans to perform security assessments of third-party companies.</t>
  </si>
  <si>
    <t>Provide a summary of your practices that assures that the third party will be subject to the appropriate standards regarding security, service recoverability, and confidentiality.</t>
  </si>
  <si>
    <t>THRD-02</t>
  </si>
  <si>
    <t>Follow-up inquiries concerning third-party data sharing will be institution/implementation specific.</t>
  </si>
  <si>
    <t>THRD-03</t>
  </si>
  <si>
    <t>THRD-04</t>
  </si>
  <si>
    <t>State your plans to implement a third-party management strategy.</t>
  </si>
  <si>
    <t>Provide additional information that may help analysts better understand your environment and how it relates to third-party solutions.</t>
  </si>
  <si>
    <t>THRD-05</t>
  </si>
  <si>
    <t>Make sure you address any national or regional regulations.</t>
  </si>
  <si>
    <t>State your plans to create a process and implemented procedures for managing your hardware supply chain.</t>
  </si>
  <si>
    <t>State what countries and/or regions this process is compliant with.</t>
  </si>
  <si>
    <t>Follow-up inquiries concerning hardware supply chain will be institution/implementation specific.</t>
  </si>
  <si>
    <t>CONS-01</t>
  </si>
  <si>
    <t>Will the consulting take place on-premises?</t>
  </si>
  <si>
    <t>Case-Specific</t>
  </si>
  <si>
    <t>No</t>
  </si>
  <si>
    <t>CONS-02</t>
  </si>
  <si>
    <t>CONS-03</t>
  </si>
  <si>
    <t>Will the consultant require access to hardware in the institution's data centers?</t>
  </si>
  <si>
    <t>CONS-04</t>
  </si>
  <si>
    <t>Will the consultant require an account within the institution's domain (@*.edu)?</t>
  </si>
  <si>
    <t>CONS-05</t>
  </si>
  <si>
    <t>CONS-06</t>
  </si>
  <si>
    <t>Will any data be transferred to the consultant's possession?</t>
  </si>
  <si>
    <t>CONS-07</t>
  </si>
  <si>
    <t>CONS-08</t>
  </si>
  <si>
    <t>Will the consultant need remote access to the institution's network or systems?</t>
  </si>
  <si>
    <t>CONS-09</t>
  </si>
  <si>
    <t>APPL-01</t>
  </si>
  <si>
    <t>Infrastructure</t>
  </si>
  <si>
    <t>This includes end users, administrators, service accounts, etc. PBAC would include various dynamic controls such as conditional access, risk-based access, location-based access, or system activity–based access.</t>
  </si>
  <si>
    <t>Describe any limitations that prevent support for RBAC for Institutional accounts.</t>
  </si>
  <si>
    <t>Describe available roles.</t>
  </si>
  <si>
    <t>APPL-02</t>
  </si>
  <si>
    <t>Are access controls for staff within your organization based on structured rules, such as RBAC, ABAC, or PBAC?</t>
  </si>
  <si>
    <t>This includes system administrators and third-party personnel with access to the system. PBAC would include various dynamic controls such as conditional access, risk-based access, location-based access, or system activity–based access.</t>
  </si>
  <si>
    <t>Describe any limitations that prevent support for RBAC within your organization.</t>
  </si>
  <si>
    <t>APPL-03</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</si>
  <si>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</si>
  <si>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</si>
  <si>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</si>
  <si>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</si>
  <si>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APPL-04</t>
  </si>
  <si>
    <t>Describe compensating controls that protect your web application, if applicable.</t>
  </si>
  <si>
    <t>Describe the currently implemented WAF.</t>
  </si>
  <si>
    <t>APPL-05</t>
  </si>
  <si>
    <t>Include any in-house developed or contract development.</t>
  </si>
  <si>
    <t>Provide supporting documentation of your processes.</t>
  </si>
  <si>
    <t>Follow-up inquiries concerning software supply chain will be institution/implementation specific.</t>
  </si>
  <si>
    <t>APPL-06</t>
  </si>
  <si>
    <t>If the web application only works with a subset of modern supported browsers, please indicate that here.</t>
  </si>
  <si>
    <t>State your plan to migrate to supported operating systems, libraries, and software.</t>
  </si>
  <si>
    <t>Please provide a list of all required dependencies.</t>
  </si>
  <si>
    <t>APPL-07</t>
  </si>
  <si>
    <t>If mobile, is the application available from a trusted source (e.g., App Store, Google Play Store)?</t>
  </si>
  <si>
    <t>Select N/A if there is no mobile version of your app.</t>
  </si>
  <si>
    <t>State the application title as listed within the trusted source.</t>
  </si>
  <si>
    <t>Distributing application via known, moderately vetted application platform decreases the chances of malicious code distribution. Stand-alone deployments (nontrusted sources) should be looked at more closely.</t>
  </si>
  <si>
    <t>APPL-08</t>
  </si>
  <si>
    <t>Please indicate any future plans that would require access to this data</t>
  </si>
  <si>
    <t>Please describe the reasons why in detail and state if that access can be limited to while your app is running.</t>
  </si>
  <si>
    <t>Sharing location data significantly increases risk factors for users. It's important to understand if this is required.</t>
  </si>
  <si>
    <t>APPL-09</t>
  </si>
  <si>
    <t>State plans to implement functionality to provide separation of duties between security administration and system administration functions.</t>
  </si>
  <si>
    <t>Describe or provide a reference to the facilities available in the system to provide separation of duties between security administration and system administration functions.</t>
  </si>
  <si>
    <t>APPL-10</t>
  </si>
  <si>
    <t>Do you have a fully implemented policy or procedure that details how your employees obtain administrator access to institutional instance of the application?</t>
  </si>
  <si>
    <t>State plans to fully implement policy or procedure that details how administrator access is handled in your environment.</t>
  </si>
  <si>
    <t>Describe or provide a reference that details how administrator access is handled (e.g., provisioning, principle of least privilege, deprovisioning, etc.).</t>
  </si>
  <si>
    <t>APPL-11</t>
  </si>
  <si>
    <t>Have your developers been trained in secure coding techniques?</t>
  </si>
  <si>
    <t>State plans to implement a training program on industry standard secure coding practices.</t>
  </si>
  <si>
    <t>Summarize your secure coding training.</t>
  </si>
  <si>
    <t>APPL-12</t>
  </si>
  <si>
    <t>Was your application developed using secure coding techniques?</t>
  </si>
  <si>
    <t>State plans to update your application to adhere to industry secure coding practices.</t>
  </si>
  <si>
    <t>Summarize your secure coding practices.</t>
  </si>
  <si>
    <t>APPL-13</t>
  </si>
  <si>
    <t>State your plans to implement static code testing practices into your environment.</t>
  </si>
  <si>
    <t>Provide a list of all tools utilized during static code analysis or static application security testing.</t>
  </si>
  <si>
    <t>APPL-14</t>
  </si>
  <si>
    <t>State your plans to implement software testing processes into your environment.</t>
  </si>
  <si>
    <t>Describe testing processes, including but not limited to, development of test plans, personnel involved in the testing process, and authorized individual accountable for approval and certification of test results.</t>
  </si>
  <si>
    <t>AAAI-01</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</si>
  <si>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</si>
  <si>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</si>
  <si>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</si>
  <si>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</si>
  <si>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AAAI-02</t>
  </si>
  <si>
    <t>Describe any plans to support local authentication modes.</t>
  </si>
  <si>
    <t>Provide a detailed description of your local authentication mode practices.</t>
  </si>
  <si>
    <t>The content of this response may or may not have value for the type of use case on the institution. Follow-up inquiries for authentication modes will be institution/implementation specific.</t>
  </si>
  <si>
    <t>AAAI-03</t>
  </si>
  <si>
    <t>AAAI-04</t>
  </si>
  <si>
    <t>Describe plans to support password/passphrase complexity requirements.</t>
  </si>
  <si>
    <t>Describe how password/passphrase complexity requirements are implemented in the product.</t>
  </si>
  <si>
    <t>Follow-up inquiries for password/passphrase complexity requirements will be institution/implementation specific.</t>
  </si>
  <si>
    <t>AAAI-05</t>
  </si>
  <si>
    <t>Describe these limitations and/or restrictions and state what lengths and complexities are supported.</t>
  </si>
  <si>
    <t>Follow-up inquiries for password/passphrase limitations and/or restrictions will be institution/implementation specific.</t>
  </si>
  <si>
    <t>AAAI-06</t>
  </si>
  <si>
    <t>Describe your plans to document system password/passphrase reset procedures.</t>
  </si>
  <si>
    <t>Describe your documented password/passphrase reset procedures that are currently implemented in the system and/or customer support.</t>
  </si>
  <si>
    <t>AAAI-07</t>
  </si>
  <si>
    <t>Describe plans to participate in InCommon or another eduGAIN-affiliated trust federation.</t>
  </si>
  <si>
    <t>List the entity IDs registered in the Additional Information column.</t>
  </si>
  <si>
    <t>AAAI-08</t>
  </si>
  <si>
    <t>Describe any plans to support integration with other authentication and authorization systems.</t>
  </si>
  <si>
    <t>List which systems and versions supported (such as Active Directory, Kerberos, or other LDAP compatible directory) in Additional Info.</t>
  </si>
  <si>
    <t>AAAI-09</t>
  </si>
  <si>
    <t>Describe plans to support web SSO in your solution.</t>
  </si>
  <si>
    <t>State the web SSO standards supported by your solution and provide additional details about your support, including framework(s) in use, how information is exchanged securely, etc.</t>
  </si>
  <si>
    <t>AAAI-10</t>
  </si>
  <si>
    <t>Do you support differentiation between email address and user identifier?</t>
  </si>
  <si>
    <t>Describe any plans to support differentiation between email address and user identifier.</t>
  </si>
  <si>
    <t>Follow-up inquiries for identifier requirements will be institution/implementation specific.</t>
  </si>
  <si>
    <t>AAAI-11</t>
  </si>
  <si>
    <t>Do you allow the customer to specify attribute mappings for any needed information beyond a user identifier? (e.g., Reference eduPerson, ePPA/ePPN/ePE)</t>
  </si>
  <si>
    <t>Describe plans to allow customers to specify attribute mappings.</t>
  </si>
  <si>
    <t>Follow-up inquiries for attribute mapping requirements will be institution/implementation specific.</t>
  </si>
  <si>
    <t>AAAI-12</t>
  </si>
  <si>
    <t>2FA/MFA, implemented correctly, strengthens the security state of a system. 2FA/MFA is commonly implemented and in many use cases is a requirement for account protection purposes.</t>
  </si>
  <si>
    <t>AAAI-13</t>
  </si>
  <si>
    <t>Describe any plans to support automatic lock or log-out.</t>
  </si>
  <si>
    <t>Describe the default behavior of this capability.</t>
  </si>
  <si>
    <t>This is a question to ensure account integrity and institutional data confidentiality.</t>
  </si>
  <si>
    <t>Follow-up inquiries for inactivity protections will be institution/implementation specific.</t>
  </si>
  <si>
    <t>AAAI-14</t>
  </si>
  <si>
    <t>AAAI-15</t>
  </si>
  <si>
    <t>Provide a detailed description stating why account passwords/passphrases are not encrypted in storage.</t>
  </si>
  <si>
    <t>The focus of this question is confidentiality. It is a straightforward question confirming the encryption of user authentication details.</t>
  </si>
  <si>
    <t>Follow-up inquiries for password/passphrase encrypted storage will be institution/implementation specific.</t>
  </si>
  <si>
    <t>AAAI-16</t>
  </si>
  <si>
    <t>Describe any plans to support external authentication services in place of local authentication.</t>
  </si>
  <si>
    <t>Describe all authentication services supported by the system.</t>
  </si>
  <si>
    <t>AAAI-17</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</si>
  <si>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</si>
  <si>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</si>
  <si>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AAAI-18</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</si>
  <si>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t>
  </si>
  <si>
    <t>Follow-up inquiries for logging details will be institution/implementation specific.</t>
  </si>
  <si>
    <t>CHNG-01</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</si>
  <si>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</si>
  <si>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</si>
  <si>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</si>
  <si>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</si>
  <si>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CHNG-02</t>
  </si>
  <si>
    <t>CHNG-03</t>
  </si>
  <si>
    <t>CHNG-04</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</si>
  <si>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</si>
  <si>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</si>
  <si>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</si>
  <si>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CHNG-05</t>
  </si>
  <si>
    <t>Do clients have the option to not participate in or postpone an upgrade to a new release?</t>
  </si>
  <si>
    <t>Summarize why clients do not have alternative release options.</t>
  </si>
  <si>
    <t>CHNG-06</t>
  </si>
  <si>
    <t>Do you have a fully implemented solution support strategy that defines how many concurrent versions you support?</t>
  </si>
  <si>
    <t>List the current version you support and what percentage of customers are utilizing that version.</t>
  </si>
  <si>
    <t>Describe or provide a reference to your solution support strategy in regard to maintaining software currency (i.e., how many concurrent versions are you willing to run and support?).</t>
  </si>
  <si>
    <t>CHNG-07</t>
  </si>
  <si>
    <t>Ensure that all relevant details pertaining to CHNG-06 are clearly stated in your response.</t>
  </si>
  <si>
    <t>Clarify the lack of support strategy for client customizations from one release to another.</t>
  </si>
  <si>
    <t>Describe or provide reference to your solution support strategy in regard to maintaining client customizations from one release to another.</t>
  </si>
  <si>
    <t>CHNG-08</t>
  </si>
  <si>
    <t>Do you have a release schedule for product updates?</t>
  </si>
  <si>
    <t>State any plans to release a schedule of product updates.</t>
  </si>
  <si>
    <t>CHNG-09</t>
  </si>
  <si>
    <t>State any plans to release a technology roadmap covering the next two years.</t>
  </si>
  <si>
    <t>Provide a reference to your technology roadmap.</t>
  </si>
  <si>
    <t>CHNG-10</t>
  </si>
  <si>
    <t>Vague responses to this question should be investigated further. Ask for additional documentation for customer responsibilities (in the context of information technology/security).</t>
  </si>
  <si>
    <t>CHNG-11</t>
  </si>
  <si>
    <t>Do you have policy and procedure, currently implemented, managing how critical patches are applied to all systems and applications?</t>
  </si>
  <si>
    <t>State your plans to implement policy and procedure(s) to manage how critical patches are applied to systems and applications.</t>
  </si>
  <si>
    <t>Summarize the policy and procedure(s) managing how critical patches are applied to systems and applications.</t>
  </si>
  <si>
    <t>CHNG-12</t>
  </si>
  <si>
    <t>State your plans to implement policy and procedure(s) guiding risk mitigation practices before critical patches can be applied.</t>
  </si>
  <si>
    <t>Summarize the policy and procedure(s) guiding risk mitigation practices before critical patches can be applied.</t>
  </si>
  <si>
    <t>CHNG-13</t>
  </si>
  <si>
    <t>Are upgrades or system changes installed during off-peak hours or in a manner that does not impact the customer?</t>
  </si>
  <si>
    <t>Define current off-peak hours, including time zones as necessary.</t>
  </si>
  <si>
    <t>Restricting system updates to a standard maintenance timeframe is important for ensuring that changes to production systems do not impact operations. It’s also important for troubleshooting any problems that may occur as a result of the changes.</t>
  </si>
  <si>
    <t>CHNG-14</t>
  </si>
  <si>
    <t>Do procedures exist to provide that emergency changes are documented and authorized (including after-the-fact approval)?</t>
  </si>
  <si>
    <t>Describe plans to implement procedure ensuring that emergency changes are documented and authorized.</t>
  </si>
  <si>
    <t>Summarize implemented procedures ensuring that emergency changes are documented and authorized.</t>
  </si>
  <si>
    <t>CHNG-15</t>
  </si>
  <si>
    <t>Describe how system configuration management is currently handled in your environment.</t>
  </si>
  <si>
    <t>CHNG-16</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</si>
  <si>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</si>
  <si>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</si>
  <si>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</si>
  <si>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DATA-01</t>
  </si>
  <si>
    <t>Describe your plan to separate institution data from that of other customers.</t>
  </si>
  <si>
    <t>Describe or provide a reference to how institution data is separated from that of other customers.</t>
  </si>
  <si>
    <t>Follow-up inquiries for dedicated single-tenant capabilities will be institution/implementation specific.</t>
  </si>
  <si>
    <t>DATA-02</t>
  </si>
  <si>
    <t>State the need for this strategy, in detail.</t>
  </si>
  <si>
    <t>Systems that are directly exposed to public internet resources are at greater risk than those that are not. Understanding the requirements for this configuration is important, particularly when assessing compensating controls.</t>
  </si>
  <si>
    <t>DATA-03</t>
  </si>
  <si>
    <t>Describe why sensitive data is not encrypted in transport.</t>
  </si>
  <si>
    <t>Summarize your transport encryption strategy.</t>
  </si>
  <si>
    <t>Follow-up inquiries for data encryption between the system and end-users will be institution/implementation specific.</t>
  </si>
  <si>
    <t>DATA-04</t>
  </si>
  <si>
    <t>Describe why sensitive data is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</si>
  <si>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</si>
  <si>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</si>
  <si>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</si>
  <si>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DATA-05</t>
  </si>
  <si>
    <t>Provide a detailed description of all non-conforming modules.</t>
  </si>
  <si>
    <t>Provide reference to FIPS 140-3 validation certificates.</t>
  </si>
  <si>
    <t>DATA-06</t>
  </si>
  <si>
    <t>State the length of time that the institution's data will be available in the system at the completion of the contract.</t>
  </si>
  <si>
    <t>DATA-07</t>
  </si>
  <si>
    <t>Describe your data export procedures conducted at the termination of contract.</t>
  </si>
  <si>
    <t>DATA-08</t>
  </si>
  <si>
    <t>Can the institution extract a full or partial backup of data?</t>
  </si>
  <si>
    <t>State plans to implement capabilities for the institution to extract a full or partial backup of data.</t>
  </si>
  <si>
    <t>Provide a general summary of how full and partial backups of data can be extracted.</t>
  </si>
  <si>
    <t>DATA-09</t>
  </si>
  <si>
    <t>Are ownership rights to all data, inputs, outputs, and metadata retained by the institution?</t>
  </si>
  <si>
    <t>Describe in detail why ownership rights are not retained by the institution.</t>
  </si>
  <si>
    <t>DATA-10</t>
  </si>
  <si>
    <t>Provide a detailed description why rights are not retained.</t>
  </si>
  <si>
    <t>Provide references, as needed.</t>
  </si>
  <si>
    <t>This question clarifies the position of the institution in the case of acquisition or bankruptcy. Expect clear responses to this question. If they are vague, be sure to follow up based on institutional counsel guidance.</t>
  </si>
  <si>
    <t>DATA-11</t>
  </si>
  <si>
    <t>In the event of imminent bankruptcy, closing of business, or retirement of service, will you provide 90 days for customers to get their data out of the system and migrate applications?</t>
  </si>
  <si>
    <t>Provide a detailed summary to support your selection.</t>
  </si>
  <si>
    <t>State how the institution will be notified of imminent termination.</t>
  </si>
  <si>
    <t>DATA-12</t>
  </si>
  <si>
    <t>Are involatile backup copies made according to predefined schedules and securely stored and protected?</t>
  </si>
  <si>
    <t>Ensure that response addresses involatile storage and lists retention periods.</t>
  </si>
  <si>
    <t>State how the institution's data is protected from system failures and ransomware.</t>
  </si>
  <si>
    <t>If your strategy uses different processes for services and data, ensure that all strategies are clearly stated and supported.</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</si>
  <si>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</si>
  <si>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DATA-13</t>
  </si>
  <si>
    <t>Do current backups include all operating system software, utilities, security software, application software, and data files necessary for recovery?</t>
  </si>
  <si>
    <t>State plans to include the elements listed in DATA-13 in your backup strategy.</t>
  </si>
  <si>
    <t>Follow-up inquiries for backup content scope will be institution/implementation specific.</t>
  </si>
  <si>
    <t>DATA-14</t>
  </si>
  <si>
    <t>DATA-15</t>
  </si>
  <si>
    <t>DATA-16</t>
  </si>
  <si>
    <t>Summarize why backups containing the institution's data leave the institution's data zone.</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</si>
  <si>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</si>
  <si>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</si>
  <si>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DATA-17</t>
  </si>
  <si>
    <t>Are data backups encrypted?</t>
  </si>
  <si>
    <t>Summarize why backups are not encrypted.</t>
  </si>
  <si>
    <t>Summarize the encryption algorithm/strategy you are using to secure backups.</t>
  </si>
  <si>
    <t>The need for encryption at 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</si>
  <si>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</si>
  <si>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DATA-18</t>
  </si>
  <si>
    <t>Summarize your cryptographic key management process.</t>
  </si>
  <si>
    <t>DATA-19</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</si>
  <si>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</si>
  <si>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</si>
  <si>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</si>
  <si>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</si>
  <si>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DATA-20</t>
  </si>
  <si>
    <t>State plans to adhere to DoD 5220.22-M and/or NIST SP 800-88 standards.</t>
  </si>
  <si>
    <t>Follow-up inquiries for DoD 5220.22-M and/or SP800-88 standards will be institution specific.</t>
  </si>
  <si>
    <t>DATA-21</t>
  </si>
  <si>
    <t>State plans to store long-term media in environmentally protected areas.</t>
  </si>
  <si>
    <t>Provide a general summary of your archival environment.</t>
  </si>
  <si>
    <t>DATA-22</t>
  </si>
  <si>
    <t>State plans to handle data in a FERPA-compliant manner.</t>
  </si>
  <si>
    <t>Describe how FERPA compliance is integrated into your process and procedures.</t>
  </si>
  <si>
    <t>Follow-up inquiries for FERPA compliance details will be institution/implementation specific.</t>
  </si>
  <si>
    <t>DATA-23</t>
  </si>
  <si>
    <t>Summarize what access staff (or third parties) have to institutional data.</t>
  </si>
  <si>
    <t>Do you have a documented and currently implemented strategy for securing employee workstations when they work remotely (i.e., not in a trusted computing environment)?</t>
  </si>
  <si>
    <t>Provide a detailed summary outlining the security controls implemented to protect the institution's data.</t>
  </si>
  <si>
    <t>Vague responses to this question should be investigated further. Ask for additional documentation and verify that procedure (and possibly training) exists to ensure proper customer data handling activity.</t>
  </si>
  <si>
    <t>DCTR-01</t>
  </si>
  <si>
    <t>Select your hosting option.</t>
  </si>
  <si>
    <t>If you are using an option not listed, or a combination of options, select "Other." Your selection here will determine which questions below are required.</t>
  </si>
  <si>
    <t>Understanding the hosting environment may reveal infrastructure risks that may not be apparent by other means and provides context to the responses provided throughout this HECVAT.</t>
  </si>
  <si>
    <t>Follow-up inquiries for hosting options will be institution/implementation specific.</t>
  </si>
  <si>
    <t>DCTR-02</t>
  </si>
  <si>
    <t>Obtain the report if possible and add it to your submission.</t>
  </si>
  <si>
    <t>DCTR-03</t>
  </si>
  <si>
    <t>Please indicate which geographic regions you can provide storage in the Additional Info column.</t>
  </si>
  <si>
    <t>Under what circumstances would institutional data leave a designated region or regions?</t>
  </si>
  <si>
    <t>DCTR-04</t>
  </si>
  <si>
    <t>Are the data centers staffed 24 hours a day, seven days a week (i.e., 24 x 7 x 365)?</t>
  </si>
  <si>
    <t>State any plans to staff data centers 24 x 7 x 365.</t>
  </si>
  <si>
    <t>Describe the on-site staff capabilities.</t>
  </si>
  <si>
    <t>Follow-up inquiries for data center staffing will be institution/implementation specific.</t>
  </si>
  <si>
    <t>DCTR-05</t>
  </si>
  <si>
    <t>Describe your physical barrier strategy.</t>
  </si>
  <si>
    <t>Follow-up inquiries for system physical security will be institution/implementation specific.</t>
  </si>
  <si>
    <t>DCTR-06</t>
  </si>
  <si>
    <t>State plans to implement a physical barrier to prevent physical contact with any of your devices.</t>
  </si>
  <si>
    <t>DCTR-07</t>
  </si>
  <si>
    <t>Are your primary and secondary data centers geographically diverse?</t>
  </si>
  <si>
    <t>Describe any plans to implement.</t>
  </si>
  <si>
    <t>State your primary and secondary data center locations. For cloud infrastructures, state the primary and secondary zones.</t>
  </si>
  <si>
    <t>Follow-up inquiries for geographic diversity in datacenters will be institution/implementation specific.</t>
  </si>
  <si>
    <t>DCTR-08</t>
  </si>
  <si>
    <t>DCTR-09</t>
  </si>
  <si>
    <t>DCTR-10</t>
  </si>
  <si>
    <t>Is the service hosted in a high-availability environment?</t>
  </si>
  <si>
    <t>Describe any plans to implement a high-availability environment for your systems.</t>
  </si>
  <si>
    <t>Provide a summary to support your response selection.</t>
  </si>
  <si>
    <t>In the context of the CIA triad, this question is focused on the availability of a system (or set of systems).</t>
  </si>
  <si>
    <t>DCTR-11</t>
  </si>
  <si>
    <t>Is redundant power available for all data centers where institutional data will reside?</t>
  </si>
  <si>
    <t>Describe any plans to implement a redundant power environment for your systems.</t>
  </si>
  <si>
    <t>DCTR-12</t>
  </si>
  <si>
    <t>State plans to implement redundant power testing for your systems.</t>
  </si>
  <si>
    <t>State how often redundant power strategies are tested and the date of the last successful test.</t>
  </si>
  <si>
    <t>Follow-up inquiries for redundant power testing details will be institution/implementation specific.</t>
  </si>
  <si>
    <t>DCTR-13</t>
  </si>
  <si>
    <t>Follow-up inquiries for cooling and fire suppression systems will be institution/implementation specific.</t>
  </si>
  <si>
    <t>DCTR-14</t>
  </si>
  <si>
    <t>Do you have Internet Service Provider (ISP) redundancy?</t>
  </si>
  <si>
    <t>State the ISP provider(s) in addition to the number of ISPs that provide connectivity.</t>
  </si>
  <si>
    <t>State how many Internet Service Providers (ISPs) provide connectivity to each data center where the institution's data will reside.</t>
  </si>
  <si>
    <t>DCTR-15</t>
  </si>
  <si>
    <t>Does every data center where the institution's data will reside have multiple telephone company or network provider entrances to the facility?</t>
  </si>
  <si>
    <t>State plans to implement diversity of path in your network provider connections.</t>
  </si>
  <si>
    <t>Provide a brief description for each datacenter.</t>
  </si>
  <si>
    <t>DCTR-16</t>
  </si>
  <si>
    <t>Describe plans to implement MFA.</t>
  </si>
  <si>
    <t>State which model of MFA you are using.</t>
  </si>
  <si>
    <t>Describe how you alternately harden your images.</t>
  </si>
  <si>
    <t>In the context of the CIA triad, this question is focused on the integrity of a system (or set of systems).</t>
  </si>
  <si>
    <t>Describe your key management practices.</t>
  </si>
  <si>
    <t>FIDP-01</t>
  </si>
  <si>
    <t>Describe any plans to implement a SPI firewall.</t>
  </si>
  <si>
    <t>Describe the currently implemented SPI firewall.</t>
  </si>
  <si>
    <t>FIDP-02</t>
  </si>
  <si>
    <t>Describe how firewall changes are approved.</t>
  </si>
  <si>
    <t>List approver names or titles.</t>
  </si>
  <si>
    <t>Modifications to firewall rule sets can have significant repercussions. To ensure the integrity of the rule set, this question targets the individual (or responsible party) for changes and the reasoning behind their authority.</t>
  </si>
  <si>
    <t>Ensure that a separation of duties exists in network security configurations. Pay close attention to responsibility overlap in small organizations, where staff often fill multiple roles.</t>
  </si>
  <si>
    <t>FIDP-03</t>
  </si>
  <si>
    <t>Describe your plans to implement a documented policy for firewall change requests.</t>
  </si>
  <si>
    <t>Describe your documented firewall change request policy.</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</si>
  <si>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</si>
  <si>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</si>
  <si>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FIDP-04</t>
  </si>
  <si>
    <t>Describe the currently implemented IDS.</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</si>
  <si>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</si>
  <si>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FIDP-05</t>
  </si>
  <si>
    <t>Describe the currently implemented IPS.</t>
  </si>
  <si>
    <t>FIDP-06</t>
  </si>
  <si>
    <t>Describe the currently implemented host-based IDS solution(s).</t>
  </si>
  <si>
    <t>FIDP-07</t>
  </si>
  <si>
    <t>Do you employ host-based intrusion prevention?</t>
  </si>
  <si>
    <t>Describe the currently implemented host-based IPS solution(s).</t>
  </si>
  <si>
    <t>FIDP-08</t>
  </si>
  <si>
    <t>Are you employing any next-generation persistent threat (NGPT) monitoring?</t>
  </si>
  <si>
    <t>Describe your intent to implement NGPT monitoring.</t>
  </si>
  <si>
    <t>Describe your NGPT monitoring strategy.</t>
  </si>
  <si>
    <t>Follow-up inquiries for next-generation persistent threat monitoring will be institution/implementation specific.</t>
  </si>
  <si>
    <t>FIDP-09</t>
  </si>
  <si>
    <t>Do you monitor for intrusions on a 24 x 7 x 365 basis?</t>
  </si>
  <si>
    <t>State plans to implement 24 x 7 x 365 intrusion monitoring in your environment(s).</t>
  </si>
  <si>
    <t>Provide a brief summary of this activity.</t>
  </si>
  <si>
    <t>Follow-up inquiries for 24 x 7 x 365 monitoring will be institution/implementation specific.</t>
  </si>
  <si>
    <t>FIDP-10</t>
  </si>
  <si>
    <t>Is intrusion monitoring performed internally or by a third-party service?</t>
  </si>
  <si>
    <t>In addition to stating your intrusion monitoring strategy, provide a brief summary of its implementation.</t>
  </si>
  <si>
    <t>Follow-up inquiries for intrusion monitoring will be institution/implementation specific.</t>
  </si>
  <si>
    <t>FIDP-11</t>
  </si>
  <si>
    <t>State plans to implement auditing capabilities for your network, firewall, IDS, and/or IPS.</t>
  </si>
  <si>
    <t>Describe your current network systems logging strategy.</t>
  </si>
  <si>
    <t>Strong logging capabilities are vital to the proper management of a network. Implementing an immature system that lacks sufficient logging capabilities exposes an institution to great risk.</t>
  </si>
  <si>
    <t>PPPR-01</t>
  </si>
  <si>
    <t>PPPR-02</t>
  </si>
  <si>
    <t>Can you accommodate encryption requirements using open standards?</t>
  </si>
  <si>
    <t>PPPR-03</t>
  </si>
  <si>
    <t>Are information security principles designed into the product lifecycle?</t>
  </si>
  <si>
    <t>State why security principles are not designed into the product lifecycle.</t>
  </si>
  <si>
    <t>Summarize the information security principles designed into the product lifecycle.</t>
  </si>
  <si>
    <t>PPPR-04</t>
  </si>
  <si>
    <t>Do you have a documented systems development life cycle (SDLC)?</t>
  </si>
  <si>
    <t>State any plans to implement an SDLC.</t>
  </si>
  <si>
    <t>Briefly summarize your SDLC or provide a link or attachment.</t>
  </si>
  <si>
    <t>PPPR-05</t>
  </si>
  <si>
    <t>Will you comply with applicable breach notification laws?</t>
  </si>
  <si>
    <t>State how quickly the institution will be notified of a data breach or security incident.</t>
  </si>
  <si>
    <t>PPPR-06</t>
  </si>
  <si>
    <t>Summarize why you will not comply with the institution's IT policy with regards to user privacy and data protection.</t>
  </si>
  <si>
    <t>State that you have reviewed the institution's IT policies with regards to user privacy and data protection.</t>
  </si>
  <si>
    <t>PPPR-07</t>
  </si>
  <si>
    <t>State the country that governs and regulates your company.</t>
  </si>
  <si>
    <t>PPPR-08</t>
  </si>
  <si>
    <t>Do you perform background screenings or multi-state background checks on all employees prior to their first day of work?</t>
  </si>
  <si>
    <t>State plans to implement background check elements into your hiring process.</t>
  </si>
  <si>
    <t>Summarize your background check practices.</t>
  </si>
  <si>
    <t>PPPR-09</t>
  </si>
  <si>
    <t>Do you require new employees to fill out agreements and review policies?</t>
  </si>
  <si>
    <t>Summarize why new employees are not required to accept agreements or review policy.</t>
  </si>
  <si>
    <t>Summarize the required agreements and reviewed policies.</t>
  </si>
  <si>
    <t>Setting the expectation of performance and increasing awareness of security-related responsibilities are part of these initial-hiring documents. Oftentimes these agreements and reviews are conducted during orientation for new employees.</t>
  </si>
  <si>
    <t>PPPR-10</t>
  </si>
  <si>
    <t>Do you have a documented information security policy?</t>
  </si>
  <si>
    <t>State plans to implement information security policy at your company.</t>
  </si>
  <si>
    <t>Provide a reference to your information security policy or submit documentation with this fully populated HECVAT.</t>
  </si>
  <si>
    <t>PPPR-11</t>
  </si>
  <si>
    <t>Do you have an information security awareness program?</t>
  </si>
  <si>
    <t>State plans to implement an information security awareness program.</t>
  </si>
  <si>
    <t>Summarize your information security awareness program.</t>
  </si>
  <si>
    <t>Follow-up inquiries for information security awareness programs will be institution/implementation specific.</t>
  </si>
  <si>
    <t>PPPR-12</t>
  </si>
  <si>
    <t>Is security awareness training mandatory for all employees?</t>
  </si>
  <si>
    <t>State plans to make security awareness training mandatory for all employees.</t>
  </si>
  <si>
    <t>Summarize your security awareness training content and state how frequently employees are required to undergo security awareness training.</t>
  </si>
  <si>
    <t>PPPR-13</t>
  </si>
  <si>
    <t>Do you have process and procedure(s) documented, and currently followed, that require a review and update of the access list(s) for privileged accounts?</t>
  </si>
  <si>
    <t>Describe plans to implement privileged account access list reviews to your environment.</t>
  </si>
  <si>
    <t>Provide a brief summary and the implement review interval.</t>
  </si>
  <si>
    <t>PPPR-14</t>
  </si>
  <si>
    <t>Do you have documented, and currently implemented, internal audit processes and procedures?</t>
  </si>
  <si>
    <t>State plans to document and implement internal audit process and procedure in your environment.</t>
  </si>
  <si>
    <t>Summarize your internal audit processes and procedures.</t>
  </si>
  <si>
    <t>Follow-up inquiries for internal audit processes and procedures will be institution/implementation specific.</t>
  </si>
  <si>
    <t>PPPR-15</t>
  </si>
  <si>
    <t>Does your organization have physical security controls and policies in place?</t>
  </si>
  <si>
    <t>Describe your intent to implement physical security controls and policies.</t>
  </si>
  <si>
    <t>Provide a copy of your physical security controls and policies along with this document (link or attached).</t>
  </si>
  <si>
    <t>Follow-up inquiries for physical security controls and policies will be institution/implementation specific.</t>
  </si>
  <si>
    <t>HFIH-01</t>
  </si>
  <si>
    <t>Do you have a formal incident response plan?</t>
  </si>
  <si>
    <t>State plans to formalize an incident response plan.</t>
  </si>
  <si>
    <t>Summarize or provide a link to your formal incident response plan.</t>
  </si>
  <si>
    <t>HFIH-02</t>
  </si>
  <si>
    <t>Do you either have an internal incident response team or retain an external team?</t>
  </si>
  <si>
    <t>Describe your timeline for implementing such a process for response and reporting.</t>
  </si>
  <si>
    <t>Summarize your incident response and reporting processes.</t>
  </si>
  <si>
    <t>HFIH-03</t>
  </si>
  <si>
    <t>Do you have the capability to respond to incidents on a 24 x 7 x 365 basis?</t>
  </si>
  <si>
    <t>State plans for acquiring internal resources or an external team.</t>
  </si>
  <si>
    <t>Summarize your internal approach or reference your third-party contractor.</t>
  </si>
  <si>
    <t>HFIH-04</t>
  </si>
  <si>
    <t>Do you carry cyber-risk insurance to protect against unforeseen service outages, data that is lost or stolen, and security incidents?</t>
  </si>
  <si>
    <t>VULN-01</t>
  </si>
  <si>
    <t>Are your systems and applications regularly scanned externally for vulnerabilities?</t>
  </si>
  <si>
    <t>Describe any plans to implement external vulnerability scanning for your applications.</t>
  </si>
  <si>
    <t>VULN-02</t>
  </si>
  <si>
    <t>Have your systems and applications had a third-party security assessment completed in the last year?</t>
  </si>
  <si>
    <t>State plans to have your systems and applications assessed by a third party.</t>
  </si>
  <si>
    <t>Provide the results with this document (link or attached), if possible. State the date of the last completed third-party security assessment.</t>
  </si>
  <si>
    <t>VULN-03</t>
  </si>
  <si>
    <t>Describe plans to implement application vulnerability scanning (and remediation) prior to release.</t>
  </si>
  <si>
    <t>Provide a brief description.</t>
  </si>
  <si>
    <t>VULN-04</t>
  </si>
  <si>
    <t>Describe why security scan results will not be provided to the institution.</t>
  </si>
  <si>
    <t>Provide a reference to security scan documentation.</t>
  </si>
  <si>
    <t>VULN-05</t>
  </si>
  <si>
    <t>Ensure that all elements of VULN-05 are clearly stated in your response.</t>
  </si>
  <si>
    <t>VULN-06</t>
  </si>
  <si>
    <t>Provide a brief summary for your response.</t>
  </si>
  <si>
    <t>Follow-up inquiries for vulnerability scanning and penetration testing will be institution/implementation specific.</t>
  </si>
  <si>
    <t>HIPA-01</t>
  </si>
  <si>
    <t>Case-specific</t>
  </si>
  <si>
    <t>Refer to HIPAA regulations documentation for supplemental guidance in this section.</t>
  </si>
  <si>
    <t>HIPAA</t>
  </si>
  <si>
    <t>Refer to HIPAA documentation or your institution's Chief HIPAA Security Officer.</t>
  </si>
  <si>
    <t>HIPA-02</t>
  </si>
  <si>
    <t>Do you monitor or receive information regarding changes in HIPAA regulations?</t>
  </si>
  <si>
    <t>HIPA-03</t>
  </si>
  <si>
    <t>Has your organization designated HIPAA Privacy and Security officers as required by the rules?</t>
  </si>
  <si>
    <t>HIPA-04</t>
  </si>
  <si>
    <t>Do you comply with the requirements of the Health Information Technology for Economic and Clinical Health Act (HITECH)?</t>
  </si>
  <si>
    <t>HIPA-05</t>
  </si>
  <si>
    <t>HIPA-06</t>
  </si>
  <si>
    <t>HIPA-07</t>
  </si>
  <si>
    <t>Have you taken actions to mitigate the identified risks?</t>
  </si>
  <si>
    <t>HIPA-08</t>
  </si>
  <si>
    <t>Does your application require user and system administrator password changes at a frequency no greater than 90 days?</t>
  </si>
  <si>
    <t>HIPA-09</t>
  </si>
  <si>
    <t>Does your application require users to set their own password after an administrator reset or on first use of the account?</t>
  </si>
  <si>
    <t>HIPA-10</t>
  </si>
  <si>
    <t>Does your application lock out an account after a number of failed login attempts?</t>
  </si>
  <si>
    <t>HIPA-11</t>
  </si>
  <si>
    <t>Does your application automatically lock or log-out an account after a period of inactivity?</t>
  </si>
  <si>
    <t>HIPA-12</t>
  </si>
  <si>
    <t>Are passwords visible in plain text, whether when stored or entered, including service level accounts (i.e., database accounts, etc.)?</t>
  </si>
  <si>
    <t>HIPA-13</t>
  </si>
  <si>
    <t>If the application is institution-hosted, can all service level and administrative account passwords be changed by the institution?</t>
  </si>
  <si>
    <t>HIPA-14</t>
  </si>
  <si>
    <t>Does your application provide the ability to define user access levels?</t>
  </si>
  <si>
    <t>HIPA-15</t>
  </si>
  <si>
    <t>Does your application support varying levels of access to administrative tasks defined individually per user?</t>
  </si>
  <si>
    <t>HIPA-16</t>
  </si>
  <si>
    <t>Does your application support varying levels of access to records based on user ID?</t>
  </si>
  <si>
    <t>HIPA-17</t>
  </si>
  <si>
    <t>Is there a limit to the number of groups to which a user can be assigned?</t>
  </si>
  <si>
    <t>HIPA-18</t>
  </si>
  <si>
    <t>HIPA-19</t>
  </si>
  <si>
    <t>Does the application log record access including specific user, date/time of access, and originating IP or device?</t>
  </si>
  <si>
    <t>HIPA-20</t>
  </si>
  <si>
    <t>HIPA-21</t>
  </si>
  <si>
    <t>HIPA-22</t>
  </si>
  <si>
    <t>Can the application logs be archived?</t>
  </si>
  <si>
    <t>HIPA-23</t>
  </si>
  <si>
    <t>Can the application logs be saved externally?</t>
  </si>
  <si>
    <t>HIPA-24</t>
  </si>
  <si>
    <t>Do your data backup and retention policies and practices meet HIPAA requirements?</t>
  </si>
  <si>
    <t>HIPA-25</t>
  </si>
  <si>
    <t>Do you have a disaster recovery plan and emergency mode operation plan?</t>
  </si>
  <si>
    <t>HIPA-26</t>
  </si>
  <si>
    <t>HIPA-27</t>
  </si>
  <si>
    <t>Can you provide a HIPAA compliance attestation document?</t>
  </si>
  <si>
    <t>HIPA-28</t>
  </si>
  <si>
    <t>Are you willing to enter into a Business Associate Agreement (BAA)?</t>
  </si>
  <si>
    <t>HIPA-29</t>
  </si>
  <si>
    <t>PCID-01</t>
  </si>
  <si>
    <t>Refer to PCI DSS Security Standards for supplemental guidance in this section</t>
  </si>
  <si>
    <t>PCI DSS</t>
  </si>
  <si>
    <t>Refer to PCI DSS documentation or your institution's treasurer's office.</t>
  </si>
  <si>
    <t>PCID-02</t>
  </si>
  <si>
    <t>Are you compliant with the Payment Card Industry Data Security Standard (PCI DSS)?</t>
  </si>
  <si>
    <t>PCID-03</t>
  </si>
  <si>
    <t>PCID-04</t>
  </si>
  <si>
    <t>Are you classified as a service provider?</t>
  </si>
  <si>
    <t>PCID-05</t>
  </si>
  <si>
    <t>PCID-06</t>
  </si>
  <si>
    <t>Are you classified as a merchant? If so, what level (1, 2, 3, 4)?</t>
  </si>
  <si>
    <t>PCID-07</t>
  </si>
  <si>
    <t>Describe the architecture employed by the system to verify and authorize credit card transactions.</t>
  </si>
  <si>
    <t>PCID-08</t>
  </si>
  <si>
    <t>What payment processors/gateways does the system support?</t>
  </si>
  <si>
    <t>PCID-09</t>
  </si>
  <si>
    <t>PCID-10</t>
  </si>
  <si>
    <t>PCID-11</t>
  </si>
  <si>
    <t>PCID-12</t>
  </si>
  <si>
    <t>OPEM-01</t>
  </si>
  <si>
    <t>Include the number of years and in what capacity.</t>
  </si>
  <si>
    <t>OPEM-02</t>
  </si>
  <si>
    <t>Do you have existing higher education customers?</t>
  </si>
  <si>
    <t>State your primary industry.</t>
  </si>
  <si>
    <t>Provide a list of higher education references, with contact information.</t>
  </si>
  <si>
    <t>OPEM-03</t>
  </si>
  <si>
    <t>Do you support role-based access control (RBAC) for system administrators?</t>
  </si>
  <si>
    <t>Describe any limitations to your roles-based approach.</t>
  </si>
  <si>
    <t>Describe your RBAC.</t>
  </si>
  <si>
    <t>OPEM-04</t>
  </si>
  <si>
    <t>Can your employees access customer systems remotely?</t>
  </si>
  <si>
    <t>Describe the tools and technical controls implemented to secure remote access.</t>
  </si>
  <si>
    <t>OPEM-05</t>
  </si>
  <si>
    <t>Can you provide overall system and/or application architecture diagrams including a full description of the data communications architecture for all components of the system?</t>
  </si>
  <si>
    <t>State any plans to provide system and/or application architecture diagrams.</t>
  </si>
  <si>
    <t>Provide a reference to the requested documents or provide them when submitting this fully populated HECVAT.</t>
  </si>
  <si>
    <t>OPEM-06</t>
  </si>
  <si>
    <t>Do you require remote management of the system?</t>
  </si>
  <si>
    <t>OPEM-07</t>
  </si>
  <si>
    <t>Describe how these logs are made available.</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</si>
  <si>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t>
  </si>
  <si>
    <t>OPEM-08</t>
  </si>
  <si>
    <t>OPEM-09</t>
  </si>
  <si>
    <t>Do you support campus status monitoring through SNMPv3 or other means?</t>
  </si>
  <si>
    <t>Describe your plans to support monitoring.</t>
  </si>
  <si>
    <t>Please describe your monitoring support.</t>
  </si>
  <si>
    <t>Follow-up inquiries for monitoring via SNMPv3 will be institution/implementation specific.</t>
  </si>
  <si>
    <t>OPEM-10</t>
  </si>
  <si>
    <t>Describe or provide a reference to any other safeguards used to monitor for malicious activity.</t>
  </si>
  <si>
    <t>Please detail your monitoring strategy</t>
  </si>
  <si>
    <t>Follow-up inquiries for system monitoring will be institution/implementation specific.</t>
  </si>
  <si>
    <t>Web Link to Product/Service Privacy Notice</t>
  </si>
  <si>
    <t>PCOM-01</t>
  </si>
  <si>
    <t>Do you have a dedicated data privacy staff or office?</t>
  </si>
  <si>
    <t>PCOM-02</t>
  </si>
  <si>
    <t>PCOM-03</t>
  </si>
  <si>
    <t>PCOM-04</t>
  </si>
  <si>
    <t>PDOC-01</t>
  </si>
  <si>
    <t>PDOC-02</t>
  </si>
  <si>
    <t>PDOC-03</t>
  </si>
  <si>
    <t>Does your employee onboarding and offboarding policy include training of employees on information security and data privacy?</t>
  </si>
  <si>
    <t>PTHP-01</t>
  </si>
  <si>
    <t>Provide a summary of your practices that assures that the third party will be subject to the appropriate standards regarding data privacy.</t>
  </si>
  <si>
    <t>PTHP-02</t>
  </si>
  <si>
    <t>PCHG-01</t>
  </si>
  <si>
    <t>Does your change management process include privacy review and approval?</t>
  </si>
  <si>
    <t>PCHG-02</t>
  </si>
  <si>
    <t>Do you have policy and procedure, currently implemented, guiding how privacy risks are mitigated until they can be resolved?</t>
  </si>
  <si>
    <t>PDAT-01</t>
  </si>
  <si>
    <t>Describe where and whether you comply with the laws of that jurisdiction.</t>
  </si>
  <si>
    <t>PDAT-02</t>
  </si>
  <si>
    <t>Will you handle personal data in a manner compliant with all relevant laws, regulations, and applicable institution policies?</t>
  </si>
  <si>
    <t>PDAT-03</t>
  </si>
  <si>
    <t>PDAT-04</t>
  </si>
  <si>
    <t>PDAT-05</t>
  </si>
  <si>
    <t>PDAT-06</t>
  </si>
  <si>
    <t>PDAT-07</t>
  </si>
  <si>
    <t>Describe the tracking component and what is done with the information.</t>
  </si>
  <si>
    <t>PDAT-08</t>
  </si>
  <si>
    <t>PRPO-01</t>
  </si>
  <si>
    <t>Do you have a documented privacy management process?</t>
  </si>
  <si>
    <t>Describe privacy management process or provide links or attach documentation.</t>
  </si>
  <si>
    <t>PRPO-02</t>
  </si>
  <si>
    <t>State why principles are not designed into the product lifecycle.</t>
  </si>
  <si>
    <t>Summarize the privacy principles designed into the product lifecycle.</t>
  </si>
  <si>
    <t>PRPO-03</t>
  </si>
  <si>
    <t>Provide reason for not complying.</t>
  </si>
  <si>
    <t>PRPO-04</t>
  </si>
  <si>
    <t>Will you comply with the institution's policies regarding user privacy and data protection?</t>
  </si>
  <si>
    <t>PRPO-05</t>
  </si>
  <si>
    <t>Is your company subject to the laws and regulations of the institution's geographic region?</t>
  </si>
  <si>
    <t>PRPO-06</t>
  </si>
  <si>
    <t>PRPO-07</t>
  </si>
  <si>
    <t>Is privacy awareness training mandatory for all employees?</t>
  </si>
  <si>
    <t>Describe plans to require.</t>
  </si>
  <si>
    <t>PRPO-08</t>
  </si>
  <si>
    <t>Is AI privacy and ethics awareness/training required for all employees who work with AI?</t>
  </si>
  <si>
    <t>Describe plans to include AI training.</t>
  </si>
  <si>
    <t>PRPO-09</t>
  </si>
  <si>
    <t>PRPO-10</t>
  </si>
  <si>
    <t>Do you have a documented process for managing automated processing, including validations, monitoring, and data subject requests?</t>
  </si>
  <si>
    <t>PRPO-11</t>
  </si>
  <si>
    <t>Do you have a documented policy for sharing information with law enforcement?</t>
  </si>
  <si>
    <t>Provide a high-level overview of the policy or plans to implement a policy.</t>
  </si>
  <si>
    <t>PRPO-12</t>
  </si>
  <si>
    <t>PRPO-13</t>
  </si>
  <si>
    <t>Does your incident response team include a privacy analyst/officer?</t>
  </si>
  <si>
    <t>INTL-01</t>
  </si>
  <si>
    <t>Will data be collected from or processed in or stored in the European Economic Area (EEA)?</t>
  </si>
  <si>
    <t>Describe where and what activities will take place in the EEA.</t>
  </si>
  <si>
    <t>INTL-02</t>
  </si>
  <si>
    <t>Provide the name and contact information for the DPO.</t>
  </si>
  <si>
    <t>INTL-03</t>
  </si>
  <si>
    <t>Will you sign appropriate GDPR Standard Contractual Clauses (SCCs) with the institution?</t>
  </si>
  <si>
    <t>INTL-04</t>
  </si>
  <si>
    <t>Will data be collected from or processed in or stored in China?</t>
  </si>
  <si>
    <t>Describe where and what activities will take place in China.</t>
  </si>
  <si>
    <t>INTL-05</t>
  </si>
  <si>
    <t>Do you comply with PIPL security, privacy, and data localization requirements?</t>
  </si>
  <si>
    <t>Do you provide an end-user privacy notice about privacy policies and procedures that identify the purpose(s) for which personal information is collected, used, retained, and disclosed?</t>
  </si>
  <si>
    <t>Do you describe the choices available to the individual and obtain implicit or explicit consent with respect to the collection, use, and disclosure of personal information?</t>
  </si>
  <si>
    <t>Do you have a documented list of personal data your service maintains?</t>
  </si>
  <si>
    <t>Do you retain personal information for only as long as necessary to fulfill the stated purpose(s) or as required by law or regulation and thereafter appropriately dispose of such information?</t>
  </si>
  <si>
    <t>Do you protect personal information against unauthorized access (both physical and logical)?</t>
  </si>
  <si>
    <t>Do you have procedures to address privacy-related noncompliance complaints and disputes?</t>
  </si>
  <si>
    <t>Do you "anonymize," "de-identify," or otherwise mask personal data?</t>
  </si>
  <si>
    <t>Do you certify stop-processing requests, including any data that is processed by a third party on your behalf?</t>
  </si>
  <si>
    <t>Do you have a process to review code for ethical considerations?</t>
  </si>
  <si>
    <t>DPAI-03</t>
  </si>
  <si>
    <t>Is AI processing limited to fully licensed commercial enterprise AI services?</t>
  </si>
  <si>
    <t>DPAI-04</t>
  </si>
  <si>
    <t>DPAI-05</t>
  </si>
  <si>
    <t>Will institutional data be used or processed by any shared AI services?</t>
  </si>
  <si>
    <t>DPAI-06</t>
  </si>
  <si>
    <t>DPAI-07</t>
  </si>
  <si>
    <t>DPAI-08</t>
  </si>
  <si>
    <t>Do you provide choice to the user to opt out of AI use?</t>
  </si>
  <si>
    <t>AIQU-01</t>
  </si>
  <si>
    <t>AIQU-02</t>
  </si>
  <si>
    <t>AIGN-01</t>
  </si>
  <si>
    <t>AIGN-02</t>
  </si>
  <si>
    <t>AIGN-03</t>
  </si>
  <si>
    <t>AIGN-04</t>
  </si>
  <si>
    <t>AIGN-05</t>
  </si>
  <si>
    <t>AIPL-01</t>
  </si>
  <si>
    <t>AIPL-02</t>
  </si>
  <si>
    <t>AIPL-03</t>
  </si>
  <si>
    <t>AIPL-04</t>
  </si>
  <si>
    <t>AIPL-05</t>
  </si>
  <si>
    <t>AISC-01</t>
  </si>
  <si>
    <t>AISC-02</t>
  </si>
  <si>
    <t>AISC-03</t>
  </si>
  <si>
    <t>AISC-04</t>
  </si>
  <si>
    <t>AISC-05</t>
  </si>
  <si>
    <t>AIML-01</t>
  </si>
  <si>
    <t>AIML-02</t>
  </si>
  <si>
    <t>AIML-03</t>
  </si>
  <si>
    <t>Have you limited access to your ML training data to only staff with an explicit business need?</t>
  </si>
  <si>
    <t>AIML-04</t>
  </si>
  <si>
    <t>Is your ML training data monitored and audited?</t>
  </si>
  <si>
    <t>AIML-05</t>
  </si>
  <si>
    <t>AIML-06</t>
  </si>
  <si>
    <t>AIML-07</t>
  </si>
  <si>
    <t>Do you watermark your ML training data?</t>
  </si>
  <si>
    <t>AIML-08</t>
  </si>
  <si>
    <t>AILM-01</t>
  </si>
  <si>
    <t>AILM-02</t>
  </si>
  <si>
    <t>AILM-03</t>
  </si>
  <si>
    <t>AILM-04</t>
  </si>
  <si>
    <t>AILM-05</t>
  </si>
  <si>
    <t>AILM-06</t>
  </si>
  <si>
    <t>Do you perform taint tracing or tracking on all plugin content related to the LLM?</t>
  </si>
  <si>
    <t>Looking for taint tracing or tracking of LLM plugins to mitigate malicious inputs tuning and prompt engineering.</t>
  </si>
  <si>
    <t>AILM-07</t>
  </si>
  <si>
    <t>Do you leverage LLM model tuning or other model validation mechanisms?</t>
  </si>
  <si>
    <t>1. Complete the "Start Here" tab and review the "Required Questions" guidance to find the other sections are required for your product or service.</t>
  </si>
  <si>
    <t>Hosting option selection makes some questions N/A</t>
  </si>
  <si>
    <t>Based on the response to DCTR-01, this question does not apply to this product or service.</t>
  </si>
  <si>
    <t>NO to REQU-07</t>
  </si>
  <si>
    <t>YES to REQU-07</t>
  </si>
  <si>
    <t>NO to REQU-06</t>
  </si>
  <si>
    <t>YES to REQU-06</t>
  </si>
  <si>
    <t>NO to REQU-05</t>
  </si>
  <si>
    <t>YES to REQU-05</t>
  </si>
  <si>
    <t>NO to REQU-04</t>
  </si>
  <si>
    <t>YES to REQU-04</t>
  </si>
  <si>
    <t>NO to REQU-03</t>
  </si>
  <si>
    <t>YES to REQU-03</t>
  </si>
  <si>
    <t>NO to REQU-02</t>
  </si>
  <si>
    <t>Yes to REQU-02</t>
  </si>
  <si>
    <t>NO to REQU-01</t>
  </si>
  <si>
    <t>Yes to REQU-01</t>
  </si>
  <si>
    <t>Does not leverage a large language model</t>
  </si>
  <si>
    <t>Does not leverage machine learning</t>
  </si>
  <si>
    <t>Not on-prem</t>
  </si>
  <si>
    <t>No PCI DSS</t>
  </si>
  <si>
    <t>No HIPAA covered PHI</t>
  </si>
  <si>
    <t>No AI features</t>
  </si>
  <si>
    <t>Not a consultant</t>
  </si>
  <si>
    <t>No interface for accessibility review</t>
  </si>
  <si>
    <t>Does not offer a product or platform</t>
  </si>
  <si>
    <t>Context</t>
  </si>
  <si>
    <t>Vendor Response</t>
  </si>
  <si>
    <t>Guidance</t>
  </si>
  <si>
    <t>Analyst Notes</t>
  </si>
  <si>
    <t>Institution Assessment</t>
  </si>
  <si>
    <t>ID</t>
  </si>
  <si>
    <t>Vendor Answer</t>
  </si>
  <si>
    <t>DROPDOWN OPTIONS</t>
  </si>
  <si>
    <t>Mark as Compliant</t>
  </si>
  <si>
    <t>Mark as Non-Compliant</t>
  </si>
  <si>
    <t>Importance Override</t>
  </si>
  <si>
    <t>PRGN-01</t>
  </si>
  <si>
    <t>PRGN-02</t>
  </si>
  <si>
    <t>PRGN-03</t>
  </si>
  <si>
    <t>PRGN-04</t>
  </si>
  <si>
    <t>PRGN-05</t>
  </si>
  <si>
    <t>AWS</t>
  </si>
  <si>
    <t>Azure</t>
  </si>
  <si>
    <t>GCP</t>
  </si>
  <si>
    <t>Instructions for Solution Providers</t>
  </si>
  <si>
    <t>Instructions for Analysts</t>
  </si>
  <si>
    <t>Non-Negotiable?</t>
  </si>
  <si>
    <t>Does Not Apply/Do Not Score</t>
  </si>
  <si>
    <t>Compliant Response</t>
  </si>
  <si>
    <t>HECVAT Analyst Report</t>
  </si>
  <si>
    <t>Compliant Override</t>
  </si>
  <si>
    <t>2. When evaluating an answer, a default importance level has been set. You can use the "Importance Override" dropdown to override the default and adjust the value of the question.</t>
  </si>
  <si>
    <t>Follow-Up Inquiries/Responses</t>
  </si>
  <si>
    <t>GNRL</t>
  </si>
  <si>
    <t xml:space="preserve"> General Information</t>
  </si>
  <si>
    <t>COMP</t>
  </si>
  <si>
    <t xml:space="preserve"> Company Information</t>
  </si>
  <si>
    <t>REQU</t>
  </si>
  <si>
    <t xml:space="preserve"> Required Questions</t>
  </si>
  <si>
    <t>DOCU</t>
  </si>
  <si>
    <t xml:space="preserve"> Documentation</t>
  </si>
  <si>
    <t>ITAC</t>
  </si>
  <si>
    <t xml:space="preserve"> IT Accessibility</t>
  </si>
  <si>
    <t>THRD</t>
  </si>
  <si>
    <t xml:space="preserve"> Assessment of Third Parties</t>
  </si>
  <si>
    <t>CONS</t>
  </si>
  <si>
    <t xml:space="preserve"> Consulting Services</t>
  </si>
  <si>
    <t>APPL</t>
  </si>
  <si>
    <t xml:space="preserve"> Application/Service Security</t>
  </si>
  <si>
    <t>AAAI</t>
  </si>
  <si>
    <t>CHNG</t>
  </si>
  <si>
    <t xml:space="preserve"> Change Management</t>
  </si>
  <si>
    <t>DATA</t>
  </si>
  <si>
    <t xml:space="preserve"> Data</t>
  </si>
  <si>
    <t>DCTR</t>
  </si>
  <si>
    <t xml:space="preserve"> Datacenter</t>
  </si>
  <si>
    <t>FIDP</t>
  </si>
  <si>
    <t>PPPR</t>
  </si>
  <si>
    <t xml:space="preserve"> Policies, Processes, and Procedures</t>
  </si>
  <si>
    <t>HFIH</t>
  </si>
  <si>
    <t xml:space="preserve"> Incident Handling</t>
  </si>
  <si>
    <t>VULN</t>
  </si>
  <si>
    <t xml:space="preserve"> Vulnerability Management</t>
  </si>
  <si>
    <t>HIPA</t>
  </si>
  <si>
    <t>PCID</t>
  </si>
  <si>
    <t>OPEM</t>
  </si>
  <si>
    <t>PRGN</t>
  </si>
  <si>
    <t xml:space="preserve"> General Privacy</t>
  </si>
  <si>
    <t>PCOM</t>
  </si>
  <si>
    <t xml:space="preserve"> Privacy-Specific Company Details</t>
  </si>
  <si>
    <t>PDOC</t>
  </si>
  <si>
    <t>PTHP</t>
  </si>
  <si>
    <t xml:space="preserve"> Privacy of Third Parties</t>
  </si>
  <si>
    <t>PCHG</t>
  </si>
  <si>
    <t xml:space="preserve"> Privacy Change Management</t>
  </si>
  <si>
    <t>PDAT</t>
  </si>
  <si>
    <t xml:space="preserve"> Privacy of Sensitive Data</t>
  </si>
  <si>
    <t>PRPO</t>
  </si>
  <si>
    <t xml:space="preserve"> Privacy Policies and Procedures</t>
  </si>
  <si>
    <t>INTL</t>
  </si>
  <si>
    <t xml:space="preserve"> International Privacy</t>
  </si>
  <si>
    <t xml:space="preserve"> Data Privacy</t>
  </si>
  <si>
    <t>DPAI</t>
  </si>
  <si>
    <t xml:space="preserve"> Privacy and AI</t>
  </si>
  <si>
    <t>AIQU</t>
  </si>
  <si>
    <t xml:space="preserve"> AI Qualifying Questions</t>
  </si>
  <si>
    <t>AIGN</t>
  </si>
  <si>
    <t xml:space="preserve"> General AI Questions</t>
  </si>
  <si>
    <t>AIPL</t>
  </si>
  <si>
    <t xml:space="preserve"> AI Policy</t>
  </si>
  <si>
    <t>AISC</t>
  </si>
  <si>
    <t xml:space="preserve"> AI Data Security</t>
  </si>
  <si>
    <t>AIML</t>
  </si>
  <si>
    <t xml:space="preserve"> AI Machine Learning</t>
  </si>
  <si>
    <t>AILM</t>
  </si>
  <si>
    <t xml:space="preserve"> AI Large Language Model (LLM)</t>
  </si>
  <si>
    <t># of Questions</t>
  </si>
  <si>
    <t xml:space="preserve"> Privacy-Specific Documentation</t>
  </si>
  <si>
    <t>INSTRUCTIONS FOR ANALYSTS</t>
  </si>
  <si>
    <t>Date Completed</t>
  </si>
  <si>
    <t xml:space="preserve"> Payment Card Industry Data Security Standard (PCI DSS)</t>
  </si>
  <si>
    <t>HECVAT Analyst Reference</t>
  </si>
  <si>
    <t xml:space="preserve"> </t>
  </si>
  <si>
    <t>Overall Score</t>
  </si>
  <si>
    <t>Score %</t>
  </si>
  <si>
    <t>Score</t>
  </si>
  <si>
    <t>Report Sections</t>
  </si>
  <si>
    <t>Date Prepared</t>
  </si>
  <si>
    <t xml:space="preserve">There are cells within this worksheet are auto populated from the HECVAT - Full | Vendor Response worksheet and drop down lists. </t>
  </si>
  <si>
    <t>CIS Critical Security Controls v6.1</t>
  </si>
  <si>
    <t>ISO 27002:2013</t>
  </si>
  <si>
    <t>NIST Cybersecurity Framework</t>
  </si>
  <si>
    <t>NIST SP 800-171r1</t>
  </si>
  <si>
    <t>NIST SP 800-53r4</t>
  </si>
  <si>
    <t>Code</t>
  </si>
  <si>
    <t>Full Name</t>
  </si>
  <si>
    <t>QUESTION CATEGORY NAMES/TITLES</t>
  </si>
  <si>
    <t>Potential Score</t>
  </si>
  <si>
    <t>Actual Score</t>
  </si>
  <si>
    <t>Compliance Eval</t>
  </si>
  <si>
    <t>Default Value</t>
  </si>
  <si>
    <t>Non-negotiable Indicator</t>
  </si>
  <si>
    <t>ID Code</t>
  </si>
  <si>
    <t>Non-Negotiable</t>
  </si>
  <si>
    <t>Question Count</t>
  </si>
  <si>
    <t>Critical Indicator</t>
  </si>
  <si>
    <t>Privacy Score</t>
  </si>
  <si>
    <t>REQU-08</t>
  </si>
  <si>
    <t>This includes patient data, student data, employment data, human research data, financial data, etc.</t>
  </si>
  <si>
    <t>DO NOT complete the Privacy tab</t>
  </si>
  <si>
    <t>DO complete the Privacy tab</t>
  </si>
  <si>
    <t>Do you capture device information (e.g., IP address, MAC address)?</t>
  </si>
  <si>
    <t>Do you conform with a specific industry-standard privacy framework (e.g., NIST Privacy Framework, GDPR, ISO 27701)?</t>
  </si>
  <si>
    <t>Do you have any decision-making processes that are completely automated (i.e., there is no human involvement)?</t>
  </si>
  <si>
    <t/>
  </si>
  <si>
    <t>Non-Negotiable Questions</t>
  </si>
  <si>
    <t>Non-Negotiable Count</t>
  </si>
  <si>
    <t>Non-Negotiable Total</t>
  </si>
  <si>
    <t>Non-Negotiable Location</t>
  </si>
  <si>
    <t>Critical Count</t>
  </si>
  <si>
    <t>Critical Total</t>
  </si>
  <si>
    <t>Critical Location</t>
  </si>
  <si>
    <t>0</t>
  </si>
  <si>
    <t>Do you have a documented and implemented process for reporting and tracking accessibility issues?*</t>
  </si>
  <si>
    <t>Do you have an implemented third-party management strategy?*</t>
  </si>
  <si>
    <t>Will the consultant require access to the institution's network resources?*</t>
  </si>
  <si>
    <t>Has the consultant received training on (sensitive, HIPAA, PCI, etc.) data handling?*</t>
  </si>
  <si>
    <t>Are access controls for institutional accounts based on structured rules, such as role-based access control (RBAC), attribute-based access control (ABAC), or policy-based access control (PBAC)?*</t>
  </si>
  <si>
    <t>Are you using a web application firewall (WAF)?*</t>
  </si>
  <si>
    <t>Are only currently supported operating system(s), software, and libraries leveraged by the system(s)/application(s) that will have access to institution's data?*</t>
  </si>
  <si>
    <t>Does your application provide separation of duties between security administration, system administration, and standard user functions?*</t>
  </si>
  <si>
    <t>Do you subject your code to static code analysis and/or static application security testing prior to release?*</t>
  </si>
  <si>
    <t>Do you have software testing processes (dynamic or static) that are established and followed?*</t>
  </si>
  <si>
    <t>Does your solution support single sign-on (SSO) protocols for user and administrator authentication?*</t>
  </si>
  <si>
    <t>Does your organization participate in InCommon or another eduGAIN-affiliated trust federation?*</t>
  </si>
  <si>
    <t>Are you storing any passwords in plaintext?*</t>
  </si>
  <si>
    <t>Are audit logs available that include AT LEAST all of the following: login, logout, actions performed, and source IP address?*</t>
  </si>
  <si>
    <t>Will the institution be notified of major changes to your environment that could impact the institution's security posture?*</t>
  </si>
  <si>
    <t>Does the system support client customizations from one release to another?*</t>
  </si>
  <si>
    <t>Will the institution's data be stored on any devices (database servers, file servers, SAN, NAS, etc.) configured with non-RFC 1918/4193 (i.e., publicly routable) IP addresses?*</t>
  </si>
  <si>
    <t>Will the institution's data be available within the system for a period of time at the completion of this contract?*</t>
  </si>
  <si>
    <t>Do backups containing the institution's data ever leave the institution's data zone either physically or via network routing?*</t>
  </si>
  <si>
    <t>Is media used for long-term retention of business data and archival purposes stored in a secure, environmentally protected area?*</t>
  </si>
  <si>
    <t>Not scored</t>
  </si>
  <si>
    <t>Does a physical barrier fully enclose the physical space, preventing unauthorized physical contact with any of your devices?*</t>
  </si>
  <si>
    <t>Are redundant power strategies tested?*</t>
  </si>
  <si>
    <t>Are you utilizing a stateful packet inspection (SPI) firewall?*</t>
  </si>
  <si>
    <t>Do you have a documented policy for firewall change requests?*</t>
  </si>
  <si>
    <t>Do you employ host-based intrusion detection?*</t>
  </si>
  <si>
    <t>Are audit logs available for all changes to the network, firewall, IDS, and IPS systems?*</t>
  </si>
  <si>
    <t>Do you have a documented patch management process?*</t>
  </si>
  <si>
    <t>Can your organization comply with institutional policies on privacy and data protection with regard to users of institutional systems, if required?*</t>
  </si>
  <si>
    <t>Are your systems and applications scanned with an authenticated user account for vulnerabilities (that are remediated) prior to new releases?*</t>
  </si>
  <si>
    <t>Will you provide results of application and system vulnerability scans to the institution?*</t>
  </si>
  <si>
    <t>Will you allow the institution to perform its own vulnerability testing and/or scanning of your systems and/or application, provided that testing is performed at a mutually agreed upon time and date?*</t>
  </si>
  <si>
    <t>Do you have a current, executed within the past year, Attestation of Compliance (AoC) or Report on Compliance (RoC)?*</t>
  </si>
  <si>
    <t>Is the application listed as an approved Payment Application Data Security Standard (PA-DSS) application?*</t>
  </si>
  <si>
    <t>Use this area to share information about your privacy practices that will assist those who are assessing your company data privacy program.*</t>
  </si>
  <si>
    <t>If you have completed a SOC 2 audit, does it include the Privacy Trust Service Principle?</t>
  </si>
  <si>
    <t>Do you combine institutional data (including "de-identified," "anonymized," or otherwise masked data) with personal data from any other sources?*</t>
  </si>
  <si>
    <t>Do you have a privacy awareness/training program?*</t>
  </si>
  <si>
    <t>Have your staff completed responsible AI training?*</t>
  </si>
  <si>
    <t>Are your AI developer's policies, processes, procedures, and practices across the organization related to the mapping, measuring, and managing of AI risks conspicuously posted, unambiguous, and implemented effectively?*</t>
  </si>
  <si>
    <t>Have you identified and measured AI risks?*</t>
  </si>
  <si>
    <t>Do you authenticate and verify your ML model's feedback?*</t>
  </si>
  <si>
    <t>Have you implemented policies and procedures that guide how security risks are mitigated until patches can be applied?</t>
  </si>
  <si>
    <t>Is your company subject to the institution's geographic region's laws and regulations?*</t>
  </si>
  <si>
    <t>VPAT can also be added as an attachment</t>
  </si>
  <si>
    <t>Can the application be installed in a PCI DSS–compliant manner?</t>
  </si>
  <si>
    <t>Back to Scorecard</t>
  </si>
  <si>
    <r>
      <t>Connect</t>
    </r>
    <r>
      <rPr>
        <u/>
        <sz val="12"/>
        <color theme="10"/>
        <rFont val="Verdana"/>
        <family val="2"/>
      </rPr>
      <t xml:space="preserve"> with your higher education peers by joining the EDUCAUSE HECVAT Users Community Group</t>
    </r>
  </si>
  <si>
    <t xml:space="preserve">1. The scorecard below reflects those questions marked as "Critical Importance" or those where the "Non-Negotiable" box was checked. </t>
  </si>
  <si>
    <t xml:space="preserve">2. Use these condensed, aggregated views to review those questions that pose the highest risk. </t>
  </si>
  <si>
    <t>Analysts: Use columns G and I to override the response compliance and importance level.</t>
  </si>
  <si>
    <t>DRPV-01</t>
  </si>
  <si>
    <t>DRPV-02</t>
  </si>
  <si>
    <t>DRPV-03</t>
  </si>
  <si>
    <t>DRPV-04</t>
  </si>
  <si>
    <t>DRPV-05</t>
  </si>
  <si>
    <t>DRPV-06</t>
  </si>
  <si>
    <t>DRPV-07</t>
  </si>
  <si>
    <t>DRPV-08</t>
  </si>
  <si>
    <t>DRPV-09</t>
  </si>
  <si>
    <t>DRPV-10</t>
  </si>
  <si>
    <t>DRPV-11</t>
  </si>
  <si>
    <t>DRPV-12</t>
  </si>
  <si>
    <t>DRPV-13</t>
  </si>
  <si>
    <t>DRPV-14</t>
  </si>
  <si>
    <t>DRPV-15</t>
  </si>
  <si>
    <t>DPAI-01</t>
  </si>
  <si>
    <t>DPAI-02</t>
  </si>
  <si>
    <r>
      <t xml:space="preserve">AI </t>
    </r>
    <r>
      <rPr>
        <i/>
        <sz val="11"/>
        <color rgb="FF000000"/>
        <rFont val="Verdana"/>
        <family val="2"/>
      </rPr>
      <t>(aggregated)</t>
    </r>
  </si>
  <si>
    <r>
      <t xml:space="preserve">Privacy </t>
    </r>
    <r>
      <rPr>
        <i/>
        <sz val="11"/>
        <color rgb="FF000000"/>
        <rFont val="Verdana"/>
        <family val="2"/>
      </rPr>
      <t>(aggregated)</t>
    </r>
  </si>
  <si>
    <t>DRPV</t>
  </si>
  <si>
    <t>Do you have a dedicated software and system development team(s) (e.g., customer support, implementation, product management, etc.)?*</t>
  </si>
  <si>
    <t>Describe any plans to create a dedicated software and system development team.</t>
  </si>
  <si>
    <t>Describe the structure and size of your software and system development teams. (e.g., customer support, implementation, product management, etc.).</t>
  </si>
  <si>
    <t>Do you have a dedicated information security staff or office?</t>
  </si>
  <si>
    <t>Describe any plans to create an information security office for your organization.</t>
  </si>
  <si>
    <t>Describe your information security office, including size, talents, resources, etc.</t>
  </si>
  <si>
    <t>Use this area to share information about your environment that will assist those who are assessing your company's data security program.</t>
  </si>
  <si>
    <t>Do you have a well-documented disaster recovery plan (DRP), with a clear owner, that is tested annually?*</t>
  </si>
  <si>
    <t>Provide the date of assessment and include a SOC 2 Type 2 (preferred) or SOC 3 report. If you have a SOC 3 report, state how to obtain a copy. Indicate if your hosting provider was the subject of the audit.</t>
  </si>
  <si>
    <t>Do you conform with a specific industry standard security framework (e.g., NIST Cybersecurity Framework, CIS Controls, ISO 27001, etc.)?</t>
  </si>
  <si>
    <t xml:space="preserve">Reporting and fixing accessibility issues is critical to a mature process. If the process for this question is merely a "feature request" and tracker, the answer to this question should be "no." </t>
  </si>
  <si>
    <t>What is the prioritization of accessibility issues received, and how are they tracked? Is there a regular cadence for tracking and addressing accessibility barriers?</t>
  </si>
  <si>
    <t>If specific configurations, settings, themes, author guides, or instructions are needed to ensure accessibility, are instructions on how to do so provided for administrators and end users?</t>
  </si>
  <si>
    <t>Comment on how far into the future the roadmap extends. Provide evidence (including links) of having delivered upon the accessibility roadmap in the past.</t>
  </si>
  <si>
    <t>One critical accessibility requirement is the full use of a product using only the keyboard, -no mouse or trackpad. This requirement is easy for a nontechnical or non-accessibility expert to understand and verify.</t>
  </si>
  <si>
    <t>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t>
  </si>
  <si>
    <t>Describe any feature differences between standard and accessible modes, along with any timelines or plans to merge products into a universally designed platform.</t>
  </si>
  <si>
    <t>Do you perform security assessments of third-party companies with which you share data (e.g., hosting providers, cloud services, PaaS, IaaS, SaaS)?*</t>
  </si>
  <si>
    <t>Follow-up inquiries concerning legal agreements with third parties will be institution/implementation specific.</t>
  </si>
  <si>
    <t>Do you have a process and implemented procedures for managing your hardware supply chain (e.g., telecommunications equipment, export licensing, computing devices)?</t>
  </si>
  <si>
    <t>Consultants are often used to implement, maintain, fix, and assess technology environments. In these cases, third-party consultants have access to institutional data, and appropriate access, whether remote or onsite, must be protected during the consulting engagement.</t>
  </si>
  <si>
    <t>Answer "yes" only if user AND administrator authentication is supported. If partially supported, answer "no." Ensure you respond to any guidance in the Additional Information column.</t>
  </si>
  <si>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</si>
  <si>
    <t>Follow-up inquiries for system authentication will be unique to your institution (e.g., policy, infrastructure, etc.).</t>
  </si>
  <si>
    <t>Does your solution support any of the following web SSO standards: SAML2 (with redirect flow), OIDC, CAS, or other?</t>
  </si>
  <si>
    <t>An answer of "yes" should be well-supported in the Additional Information column, and all elements of interest should be sufficiently addressed.</t>
  </si>
  <si>
    <t>Describe any plans to support multifactor authentication in your application.</t>
  </si>
  <si>
    <t>Does your application automatically lock the session or log out an account after a period of inactivity?</t>
  </si>
  <si>
    <t>Does your change management process minimally include authorization, impact analysis, testing, and validation before moving changes to production?</t>
  </si>
  <si>
    <t>State your plans to implement change management in your environment or clarify what your change management processes do include.</t>
  </si>
  <si>
    <t>This question outlines a mature change management process. Changes should be analyzed for impact, officially approved, tested, and performed by authorized users.</t>
  </si>
  <si>
    <t>Does your change management process verify that all required third-party libraries and dependencies are still supported with each major change?</t>
  </si>
  <si>
    <t>In the context of the CIA triad, this question is focused on system integrity, ensuring that system changes are only executed by authorized users. In the event of emergency changes, accountability and post-action review are expected.</t>
  </si>
  <si>
    <t>Is the transport of sensitive data encrypted using security protocols/algorithms (e.g., system-to-client)?*</t>
  </si>
  <si>
    <t>Is the storage of sensitive data encrypted using security protocols/algorithms (e.g., disk encryption, at-rest, files, and within a running database)?*</t>
  </si>
  <si>
    <t>State plans to implement capabilities for the institution to retrieve its data.</t>
  </si>
  <si>
    <t>Are you performing off-site backups (i.e., digitally moved off site)?</t>
  </si>
  <si>
    <t>State any plans to implement off-site virtual backups in your environment.</t>
  </si>
  <si>
    <t>Summarize your off-site backup strategy.</t>
  </si>
  <si>
    <t>Follow-up inquiries for off-site, digital backups will be institution/implementation specific.</t>
  </si>
  <si>
    <t>Are physical backups taken off-site (i.e., physically moved off site)?</t>
  </si>
  <si>
    <t>State any plans to implement off-site physical backups in your environment.</t>
  </si>
  <si>
    <t>Provide the distance (in miles) between the primary and off-site locations.</t>
  </si>
  <si>
    <t>Follow-up inquiries for off-site, physical backups will be institution/implementation specific.</t>
  </si>
  <si>
    <t>Do you have a media handling process that is documented and currently implemented that meets established business needs and regulatory requirements, including end-of-life, repurposing, and data-sanitization procedures?</t>
  </si>
  <si>
    <t>Does your staff (or third party) have access to institutional data (e.g., financial, PHI, or other sensitive information) through any means?</t>
  </si>
  <si>
    <t>Do you have a cryptographic key management process (generation, exchange, storage, safeguards, use, vetting, and replacement) that is documented and currently implemented, for all system components (e.g., database, system, web, etc.)?</t>
  </si>
  <si>
    <t>Are you generally able to accommodate storing each institution's data within its geographic region?</t>
  </si>
  <si>
    <t>State plans to separate your servers from others via a physical barrier.</t>
  </si>
  <si>
    <t>Installing (potential) redundant power and regularly testing strategies to ensure they will work when needed are very different. Vague responses to this question should be met with concern and appropriate follow up, based on your institution's risk tolerance.</t>
  </si>
  <si>
    <t>Installing appropriate environmental controls is crucial to maintaining the integrity of the hosting site. Vague responses to this question should be met with concern and appropriate follow up, based on your institutions risk tolerance.</t>
  </si>
  <si>
    <t>Are you using your cloud provider's available hardening tools or pre-hardened images?</t>
  </si>
  <si>
    <t>Have you implemented an intrusion detection system (network-based)?*</t>
  </si>
  <si>
    <t>Describe your plan to implement an intrusion detection system in your environment.</t>
  </si>
  <si>
    <t>Describe your plan to implement host-based intrusion detection system capabilities in your environment.</t>
  </si>
  <si>
    <t>Is authority for firewall change approval documented? Please list approver names or titles in Additional Info.</t>
  </si>
  <si>
    <t>Have you implemented an intrusion prevention system (network-based)?</t>
  </si>
  <si>
    <t>Describe your plan to implement an intrusion prevention system in your environment.</t>
  </si>
  <si>
    <t>A security program with limited resources for active prevention is inefficient. Inquiries should include training for staff, reasoning behind not using IPS technologies, and how systems are actively protected and how malicious activity is stopped.</t>
  </si>
  <si>
    <t>Describe your plan to implement host-based intrusion prevention system capabilities in your environment.</t>
  </si>
  <si>
    <t>Provide reference to the process or procedure to set up security testing times and scopes.</t>
  </si>
  <si>
    <t>Ask if there has ever been a vulnerability scan. A short lapse in external assessment validity can be understood (if there is a planned assessment), but a significant time lapse or no scan whatsoever is cause for elevated levels of concern.</t>
  </si>
  <si>
    <t>If "no," inquire if there has ever been a vulnerability scan. A short lapse in external assessment validity can be understood (if there is a planned assessment), but a significant time lapse or no scan whatsoever is cause for elevated levels of concern.</t>
  </si>
  <si>
    <t>Does the application log administrative activity, such as user account access changes and password changes, including specific user, date/time of changes, and originating IP or device?</t>
  </si>
  <si>
    <t>Include documentation describing the system's abilities to comply with the PCI DSS and any features or capabilities of the system that must be added or changed in order to operate in compliance with the standards.</t>
  </si>
  <si>
    <t>If you maintain remote access to the system, will you handle data in a FERPA-compliant manner?</t>
  </si>
  <si>
    <t>Have you had a personal data breach in the past three years that involved reporting to a governmental agency, notice to individuals (including voluntary notice), or notice to another organization or institution?*</t>
  </si>
  <si>
    <t>Describe the other sources and provide a list of elements, including any keys that connect the datasets.</t>
  </si>
  <si>
    <t>Is institutional data coming into or going out of the United States at any point during collection, processing, storage, or archiving?</t>
  </si>
  <si>
    <t>Does any part of this service/project involve a web/app tracking component (e.g., use of web-tracking pixels, cookies)?</t>
  </si>
  <si>
    <t>Does your staff (or a third party) have access to institutional data (e.g., financial, PHI, or other sensitive information) through any means?</t>
  </si>
  <si>
    <t>Summarize the access that staff (or third parties) have to institutional data.</t>
  </si>
  <si>
    <t>Are privacy principles designed into the product lifecycle (i.e., privacy-by-design)?</t>
  </si>
  <si>
    <t>Do you have a data protection officer (DPO)?</t>
  </si>
  <si>
    <t>Do you provide individuals with access to their personal information for review and update (i.e., data subject rights)?</t>
  </si>
  <si>
    <t>Does your service use AI for the processing of institutional data?</t>
  </si>
  <si>
    <t>Do you have agreements in place with third parties or subprocessors regarding the protection of customer data and use of AI?*</t>
  </si>
  <si>
    <t>Will institutional data be processed through a third party or subprocessor that also uses AI?</t>
  </si>
  <si>
    <t>Do you have safeguards in place to protect institutional data and data privacy from unintended AI queries or processing?</t>
  </si>
  <si>
    <t>Please describe how you validate user inputs.</t>
  </si>
  <si>
    <t>Do you plan for and mitigate supply-chain risk related to your AI features?</t>
  </si>
  <si>
    <t>Have you implemented adversarial training or other model defense mechanisms to protect your ML-related features?</t>
  </si>
  <si>
    <t>Do you make your ML model transparent through documentation and log inputs and outputs?</t>
  </si>
  <si>
    <t>Do you limit multiple LLM model plugins being called as part of a single input?*</t>
  </si>
  <si>
    <t>DO complete the Product and Infrastructure worksheets.</t>
  </si>
  <si>
    <t>DO NOT complete the Product and Infrastructure worksheets.</t>
  </si>
  <si>
    <t>DO complete the Consulting section in the Case-Specific worksheet.</t>
  </si>
  <si>
    <t>DO NOT complete the Consulting section in the Case-Specific worksheet.</t>
  </si>
  <si>
    <t>DO complete the Artificial Intelligence (AI) worksheet.</t>
  </si>
  <si>
    <t>DO NOT complete the Artificial Intelligence (AI) worksheet.</t>
  </si>
  <si>
    <t>DO complete the HIPAA section in the Case-Specific worksheet.</t>
  </si>
  <si>
    <t>DO NOT complete the HIPAA section in the Case-Specific worksheet.</t>
  </si>
  <si>
    <t>DO complete the PCI-DSS section in the Case-Specific worksheet.</t>
  </si>
  <si>
    <t xml:space="preserve"> On-Premises Data Solutions</t>
  </si>
  <si>
    <t>DO NOT complete the PCI-DSS section in the Case-Specific worksheet.</t>
  </si>
  <si>
    <t>1. Upon initial review, you can check the "Non-Negotiable" box by any question to compile a report of questions that may prohibit a full review.</t>
  </si>
  <si>
    <t xml:space="preserve">5. If you are evaluating a question that appears in an earlier section, the Importance and Compliant Override cannot be changed but additional notes can be added. </t>
  </si>
  <si>
    <t>INSTRUCTIONS FOR HIGH-RISK SCORECARD</t>
  </si>
  <si>
    <t>Self-Managed</t>
  </si>
  <si>
    <t>Physical Co-Location</t>
  </si>
  <si>
    <t>Virtual Co-Location</t>
  </si>
  <si>
    <t>SECURITY FRAMEWORK OPTIONS</t>
  </si>
  <si>
    <t>Have you operated without unplanned disruptions to this solution in the past 12 months?</t>
  </si>
  <si>
    <t>Share any details that would help information security analysts assess your solution.</t>
  </si>
  <si>
    <t>Does your solution have AI features, or are there plans to implement AI features in the next 12 months?</t>
  </si>
  <si>
    <t>Does your solution process protected health information (PHI) or any data covered by the Health Insurance Portability and Accountability Act (HIPAA)?</t>
  </si>
  <si>
    <t>Answer "yes" if your solution handles personal health information (PHI), either directly or via a third party.</t>
  </si>
  <si>
    <t>Answer yes if your solution handles PCI (credit card) information, either directly or via a third party.</t>
  </si>
  <si>
    <t>Does operating your solution require the institution to operate a physical or virtual appliance in their own environment or to provide inbound firewall exceptions to allow your employees to remotely administer systems in the institution's environment?</t>
  </si>
  <si>
    <t>Will your company agree to meet your stated accessibility standard or WCAG 2.1 AA as part of your contractual agreement for the solution?*</t>
  </si>
  <si>
    <t>Does the solution substantially conform to WCAG 2.1 AA?*</t>
  </si>
  <si>
    <t>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</si>
  <si>
    <t>Do you have documentation to support the accessibility features of your solution?</t>
  </si>
  <si>
    <t>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t>
  </si>
  <si>
    <t>Has a third-party expert conducted an audit of the most recent version of your solution?</t>
  </si>
  <si>
    <t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t>
  </si>
  <si>
    <t>Summarize how you ensure accessible solutions. Provide plans to develop documented processes to validate accessibility.</t>
  </si>
  <si>
    <t>Have you adopted a technical or legal standard of conformance for the solution?</t>
  </si>
  <si>
    <t>Various federal and state governments in the United States and around the world have mandated accessibility technical requirements that should be considered and may be required when selling solutions to institutions in these jurisdictions.</t>
  </si>
  <si>
    <t>Summarize your decision to not adopt a technical or legal standard of conformance for the solution.</t>
  </si>
  <si>
    <t>Please provide any plans to develop and share an accessibility roadmap in the future.</t>
  </si>
  <si>
    <t>Indicate a plan to test the solution; develop a roadmap for keyboard accessibility or any further context.</t>
  </si>
  <si>
    <t>Are there any passwords/passphrases hard-coded into your systems or solutions?*</t>
  </si>
  <si>
    <t>Provide a detailed description of passwords/passphrases hard-coded into your systems or solutions.</t>
  </si>
  <si>
    <t>List all supported multifactor authentication methods, technologies, and/or solutions and provide a brief summary of each.</t>
  </si>
  <si>
    <t>Provide a reference to this solution's release schedule.</t>
  </si>
  <si>
    <t>Can solution updates be completed without institutional involvement (i.e., technically or organizationally)?</t>
  </si>
  <si>
    <t>Summarize the institution's responsibilities during solution updates.</t>
  </si>
  <si>
    <t>Does the environment provide for dedicated single-tenant capabilities? If not, describe how your solution or environment separates data from different customers (e.g., logically, physically, single tenancy, multi-tenancy).</t>
  </si>
  <si>
    <t>Describe the coverage in place for this solution.</t>
  </si>
  <si>
    <t>Does the system or solutions use a third party to collect, store, process, or transmit cardholder (payment/credit/debt card) data?*</t>
  </si>
  <si>
    <t>Do your systems or solutions store, process, or transmit cardholder (payment/credit/debt card) data?</t>
  </si>
  <si>
    <t>Many systems can be used a variety of ways. We want these implementation type diagrams so that we can understand the "real" use of the solution.</t>
  </si>
  <si>
    <t>Does your solution process FERPA-related data?</t>
  </si>
  <si>
    <t>Does your solution process GDPR-related or PIPL-related data?</t>
  </si>
  <si>
    <t>Does your solution process personal data regulated by state law(s) (e.g., CCPA)?</t>
  </si>
  <si>
    <t>Does your solution process user-provided data that may contain regulated information?</t>
  </si>
  <si>
    <t>Does your solution leverage machine learning (ML) or do you plan to do so in the next 12 months?</t>
  </si>
  <si>
    <t>Does your solution leverage a large language model (LLM) or do you plan to do so in the next 12 months?</t>
  </si>
  <si>
    <t>Can your solution's AI features be disabled by tenant and/or user?*</t>
  </si>
  <si>
    <t>Please describe the capabilities of your solution's AI features.</t>
  </si>
  <si>
    <t>Does your solution support business rules to protect sensitive data from being ingested by the AI model?</t>
  </si>
  <si>
    <t>If sensitive data is introduced to your solution's AI model, can the data be removed from the AI model by request?*</t>
  </si>
  <si>
    <t>Is user input data used to influence your solution's AI model?*</t>
  </si>
  <si>
    <t>Do you provide logging for your solution's AI feature(s) that includes user, date, and action taken?*</t>
  </si>
  <si>
    <t>Is your ML training data vetted, validated, and verified before training the solution's AI model?</t>
  </si>
  <si>
    <t>Do you limit your solution's LLM privileges by default?*</t>
  </si>
  <si>
    <t>Is your LLM training data vetted, validated, and verified before training the solution's AI model?*</t>
  </si>
  <si>
    <t>Do any actions taken by your solution's LLM features or plugins require human intervention?*</t>
  </si>
  <si>
    <t>Do you limit your solution's LLM resource use per request, per step, and per action?</t>
  </si>
  <si>
    <t>Solution Name</t>
  </si>
  <si>
    <t>Solution Description</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</si>
  <si>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t>
  </si>
  <si>
    <t>Follow-up inquiries for solution version releases will be institution/implementation specific.</t>
  </si>
  <si>
    <t>The need for encryption in transport is unique to your institution's implementation of a system. In particular, the data flow between the system and the end users of the solution.</t>
  </si>
  <si>
    <t>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t>
  </si>
  <si>
    <t>A simple "yes" without any references or supporting information should be questioned. Question the size of institutions that are using the solution and the scope of their implementations.</t>
  </si>
  <si>
    <t>Clarify the lack of support strategy for concurrent versions in your solution.</t>
  </si>
  <si>
    <t>Do you have a technology roadmap, for at least the next two years, for enhancements and bug fixes for the solution being assessed?</t>
  </si>
  <si>
    <t>Inquire about any planned improvements to these capabilities. Ask about their product roadmap, and try to understand how they prioritize security concerns in their environment.</t>
  </si>
  <si>
    <t>Do all cryptographic modules in use in your solution conform to the Federal Information Processing Standards (FIPS PUB 140-2 or 140-3)?*</t>
  </si>
  <si>
    <t>Describe how long your organization has conducted business in this area.</t>
  </si>
  <si>
    <t>Determines where solution provider employees will be physically located.</t>
  </si>
  <si>
    <t>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t>
  </si>
  <si>
    <t>Follow-up inquiries for solution provider team strategies will be unique to your institution and may depend on the underlying infrastructures needed to support a system for your specific use case.</t>
  </si>
  <si>
    <t>Follow-up responses to this one are normally unique to their response. Vague answers here usually result in some footprinting of a solution provider to determine their "reputation."</t>
  </si>
  <si>
    <t>We want transparency from the solution provider, and an honest answer to this question, regardless of the response, is a good step in building trust.</t>
  </si>
  <si>
    <t>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t>
  </si>
  <si>
    <t>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t>
  </si>
  <si>
    <t>This is a freebie to help the solution provider state their case. If a solution provider does not add anything here (or it is just sales stuff), we can assume it was filled out by a sales engineer and questions will be evaluated with higher scrutiny.</t>
  </si>
  <si>
    <t>The details of the standard are not the focus here; it is the fact that a solution provider builds their environment around a standard and that they continually evaluate and assess their security programs.</t>
  </si>
  <si>
    <t>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t>
  </si>
  <si>
    <t>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t>
  </si>
  <si>
    <t>Inquire about any privacy language the solution provider may have. It may not be ideal but there may be something available to assess or enough to have your legal counsel or policy/privacy professionals review.</t>
  </si>
  <si>
    <t>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t>
  </si>
  <si>
    <t>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t>
  </si>
  <si>
    <t>Unsatisfactory answers should be met with questions about access control authority, roles and responsibilities (of access grantors), administrative privileges within the solution provider's infrastructure(s), etc.</t>
  </si>
  <si>
    <t>If REQU-02 is no, populate solution provider answer with cell b3 in Auto Responses worksheet</t>
  </si>
  <si>
    <t>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t>
  </si>
  <si>
    <t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t>
  </si>
  <si>
    <t>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t>
  </si>
  <si>
    <t>If no roadmap is available, seek additional information from the solution provider such as release notes that address accessibility and any feedback from users that address the accessibility of the solution.</t>
  </si>
  <si>
    <t>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t>
  </si>
  <si>
    <t>This question is designed to understand how accessibility is included in new versions and features of solutions, particularly with solution providers that implement Agile or similar methodologies where software is updated frequently and continuously.</t>
  </si>
  <si>
    <t>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</si>
  <si>
    <t>Follow up with a robust question set if the solution provider cannot clearly state full control of the integrity of their system(s). Questions about administrator access on end-user devices and other maintenance and patching type questions are appropriate.</t>
  </si>
  <si>
    <t>Robust answers from the solution provider improve the quality and efficiency of the security assessment process.</t>
  </si>
  <si>
    <t>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</si>
  <si>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t>
  </si>
  <si>
    <t>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</si>
  <si>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If REQU-03 is no, populate solution provider answer with b4 in Auto Responses tab</t>
  </si>
  <si>
    <t>If REQU-01 is no, populate solution provider answer with B2 in Auto Responses tab</t>
  </si>
  <si>
    <t>Ask the solution provider to summarize the best practices to restrict/control the access given to the institution's end users without the use of RBAC. Make sure to understand the administrative requirements/overhead introduced in the solution provider's environment.</t>
  </si>
  <si>
    <t>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t>
  </si>
  <si>
    <t>If a solution provider states that they outsource their code development and do not run a WAF, there is elevated reason for concern. Verify how code is tested, monitored, and controlled in production environments.</t>
  </si>
  <si>
    <t>Follow-up inquiries for operating systems leveraged by the solution provider will be institution/implementation specific.</t>
  </si>
  <si>
    <t>Ask the solution provider about the need for this requirement, and understand any mitigation strategies that may be possible.</t>
  </si>
  <si>
    <t>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t>
  </si>
  <si>
    <t>Ask the solution provider to summarize their best practices for securing their system(s) administratively without the use of RBAC. Make sure to understand the administrative requirements/overhead introduced in the solution provider's environment.</t>
  </si>
  <si>
    <t>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t>
  </si>
  <si>
    <t>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t>
  </si>
  <si>
    <t>Code analysis (prior to implementation) can decrease the number of vulnerabilities within a system. Depending on the insight a solution provider has into their code, code testing should be expected.</t>
  </si>
  <si>
    <t>If software testing processes are not established and followed, point the solution provider to OWASP's Testing Guide &lt;https://www.owasp.org/index.php/OWASP_Testing_Guide_v4_Table_of_Contents&gt;.</t>
  </si>
  <si>
    <t>Managing a solution may rely on various professionals to administer a system. This question is focused on how administration, and the segregation of functions, is implemented within the solution provider's infrastructure.</t>
  </si>
  <si>
    <t>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</si>
  <si>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</si>
  <si>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t>
  </si>
  <si>
    <t>If information security principles are not designed into the product lifecycle, point the solution provider to OWASP's Secure Coding Practices - Quick Reference Guide &lt;https://www.owasp.org/index.php/OWASP_Secure_Coding_Practices_-_Quick_Reference_Guide&gt;.</t>
  </si>
  <si>
    <t>Ask the solution provider why this deployment strategy is used. Ask if it is a restriction of the app store platform or some other environment restriction.</t>
  </si>
  <si>
    <t>Ask the solution provider to summarize their implemented policies and/or procedures</t>
  </si>
  <si>
    <t>Ask the solution provider how end users will be supported. Ask for training documentation or knowledgebase content. Confirm solution provider and institution responsibilities in this support area (and others).</t>
  </si>
  <si>
    <t>This question defines the solution provider's scope of federated identity practices and their willingness to embrace higher education requirements.</t>
  </si>
  <si>
    <t>If a solution provider indicates that a system is stand-alone and cannot integrate with community standards, follow up with maturity questions and ask about other commodity type functions or other system requirements your institution may have.</t>
  </si>
  <si>
    <t>The response to this question can reveal the use (or not) of coding best practices. If passwords/passphrases are hard-coded into systems/productions, the solution provider should provide robust details supporting why this is required.</t>
  </si>
  <si>
    <t>Vague responses to this question should be met with concern. Repeat the question if the first answer is insufficient. Ask pointedly to ensure the solution provider is not misunderstanding.</t>
  </si>
  <si>
    <t>If a weak response is given, it is appropriate to ask directed questions to get specific information. Ensure that questions are targeted to ensure responses will come from the appropriate party within the solution provider.</t>
  </si>
  <si>
    <t>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t>
  </si>
  <si>
    <t>If a solution provider indicates that a system is stand-alone and cannot integrate with the institution's infrastructure, follow up with maturity questions and ask about other commodity type functions or other system requirements your institution may have.</t>
  </si>
  <si>
    <t>This questions allows an institution to know solution provider system limitations and to help them gauge the resources (that may be needed to implement) required to successfully integrate the solution with institution systems.</t>
  </si>
  <si>
    <t>Ask the solution provider about hardware and software options, future roadmap for implementations and support, etc.</t>
  </si>
  <si>
    <t>If the solution provider's response does not cover the details outlined in the reasoning, follow up and get specific responses for each, as needed.</t>
  </si>
  <si>
    <t>The solution provider's solution characteristics and the institution's use case will determine the relevancy of this question. The purpose of this question is to understand the underlying infrastructure and how it is maintained across all customers.</t>
  </si>
  <si>
    <t>In cases where the solution is customized for customer use cases, ensure the solution provider's response covers all aspects of code migration, including backups, data conversions, local resources from the institution, etc., as it relates to code upgrades and/or version adoptions.</t>
  </si>
  <si>
    <t>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t>
  </si>
  <si>
    <t>If the solution provider's response does not cover the details outlined in the reasoning, follow up and get specific responses, as needed.</t>
  </si>
  <si>
    <t>This question is fundamentally about supply chain. The solution provider should be able to document its procedures around tracking libraries maintained by third parties.</t>
  </si>
  <si>
    <t>If the solution provider's response does not cover the details outlined in the reasoning, follow-up and get specific responses for each, as needed.</t>
  </si>
  <si>
    <t>Answers to this question will reveal the solution provider’s knowledge of their IT assets and their ability to respond to notifications about their systems and software.</t>
  </si>
  <si>
    <t>Follow-up inquiries for the solution provider’s patching practices will be institution/implementation specific.</t>
  </si>
  <si>
    <t>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t>
  </si>
  <si>
    <t>Follow-up inquiries for the solution providers patching practices will be institution/implementation specific.</t>
  </si>
  <si>
    <t>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t>
  </si>
  <si>
    <t>Supporting multiple versions of a solution is challenging. Understanding the solution provider’s strategy and resources will provide insight into its ability to adequately support their customers.</t>
  </si>
  <si>
    <t>Follow-up inquiries for the solution provider’s support of concurrent versions will be institution/implementation specific.</t>
  </si>
  <si>
    <t>Answers to this question will reveal the solution provider’s ability to plan in the short term. This is valuable information for customers so they can anticipate updates and potential bug fixes.</t>
  </si>
  <si>
    <t>Follow-up inquiries for the solution provider’s solution update practices will be institution/implementation specific.</t>
  </si>
  <si>
    <t>Answers to this question will reveal the solution provider’s ability to plan for the future of their solution.</t>
  </si>
  <si>
    <t>Follow-up inquiries for the solution provider’s technology planning practices will be institution/implementation specific.</t>
  </si>
  <si>
    <t>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t>
  </si>
  <si>
    <t>Follow up with a robust question set if a solution provider cannot clearly state full control of the integrity of their system(s).</t>
  </si>
  <si>
    <t>Ask the solution provider about its infrastructure and if there is a solution that eliminates the need for this environment.</t>
  </si>
  <si>
    <t>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</si>
  <si>
    <t>If the solution provider cannot accommodate open standards encryption requirements, direct them to NIST's Cryptographic Standards and Guidelines document &lt;https://csrc.nist.gov/Projects/Cryptographic-Standards-and-Guidelines&gt;.</t>
  </si>
  <si>
    <t>When cancelling a solution, an institution will commonly want all institutional data that was provided to a solution provider. This questions allows the solution provider to state their general practices when a customer leaves their environment.</t>
  </si>
  <si>
    <t>A solution provider's response should be clear and concise. Be wary of vague responses to this questions and inquire about export specifics, as needed.</t>
  </si>
  <si>
    <t>If a solution provider's response is unsatisfactory, engage institutional counsel to appropriately address any ownership concerns.</t>
  </si>
  <si>
    <t>When cancelling a solution, an institution will commonly want all institutional data that was provided to a solution provider. This question allows the solution provider to state its general practices when a customer leaves its environment.</t>
  </si>
  <si>
    <t>When cancelling a solution, an institution will commonly want all institutional data that was provided to a solution provider. The solution provider's response should verify if the institution can extract data or if it is a manual extraction by solution provider staff.</t>
  </si>
  <si>
    <t>The purpose of this question is to define the scope of backup operations and the scope at which a solution provider may readily recover when backup restoration is required.</t>
  </si>
  <si>
    <t>When data is moved digitally (e.g., cloud provider, solution provider-owned facility, etc.) off-site, the policies and implemented procedures are important to know. The protections implemented to prevent compromise will be technical in nature and should be well-documented.</t>
  </si>
  <si>
    <t>Confidentiality is the focus of this question. Based on the capabilities of solution provider administrators, the institution may require additional safeguards to protect the confidentiality of data stored by or shared with a solution provider (e.g., additional layer of encryption, etc.).</t>
  </si>
  <si>
    <t>If institutional data is visible by the solution provider's system administrators, follow up with the solution provider to understand the scope of visibility, process/procedure that administrators follow, and use cases when administrators are allowed to access (view) institutional data.</t>
  </si>
  <si>
    <t>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t>
  </si>
  <si>
    <t>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t>
  </si>
  <si>
    <t>An institution's use case will drive the requirements for backup strategy. Ensure that the institution's use case and risk tolerance can be met by solution provider systems.</t>
  </si>
  <si>
    <t>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</si>
  <si>
    <t>Follow up with the solution provider to ensure that all components of the system are considered. This includes system-to-system, system-to-client, applications, system accounts, etc.</t>
  </si>
  <si>
    <t>If/then: If Self-managed, populate the solution provider answer for questions DCTR 02, 08, 16-18 with cell B25 in the Auto Responses sheet; If Physical co-location, populate solution provider answer for  DCTR 02-15 with B25; if Virtual Co-location, populate solution provider answer for DCTR 02-04, 07-08, 10, 16-18 with B25; If AWS, Azure, or GCP, populate 03, 07-08, 10, 16-18 with B25; if Other populate DCTR 02-03, 07-08, 10 with B25</t>
  </si>
  <si>
    <t>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t>
  </si>
  <si>
    <t>Follow-up inquiries for additional solution provider's SOC 2 Type 2 reports will be institution/implementation specific.</t>
  </si>
  <si>
    <t>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t>
  </si>
  <si>
    <t>If a solution provider is unable to accommodate storing/processing institutional data within specific regions, ask them why they are unable to. Try to determine if it's an infrastructure issue (scalability), a cost-reduction strategy (size/maturity), or some other issue.</t>
  </si>
  <si>
    <t>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</si>
  <si>
    <t>When planning for business continuity and disaster recovery, considering geographic diversity of a solution provider's operating environment will help analysts better understand risk due to widespread technical issues as well as weather and environmental considerations.</t>
  </si>
  <si>
    <t>The weight placed on the solution provider's response will be specific to the institution's use case and solution requirements.</t>
  </si>
  <si>
    <t>Ask the solution provider about their system lifecycle practices and security methodology.</t>
  </si>
  <si>
    <t>Does your cloud solution provider have access to your encryption keys?</t>
  </si>
  <si>
    <t>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</si>
  <si>
    <t>Ask the solution provider to summarize why host-based intrusion detection tools are not implemented in their environment. What compensating controls are in place to detect configuration changes and/or failures of integrity?</t>
  </si>
  <si>
    <t>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t>
  </si>
  <si>
    <t>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</si>
  <si>
    <t>Ask the solution provider to summarize why host-based intrusion prevention tools are not implemented in their environment. What compensating controls are in place to detect malicious activity and to actively prevent its function?</t>
  </si>
  <si>
    <t>This question is primarily focused on determining the maturity of a solution provider's security program and their ability to implement and operate cutting-edge technologies. Investment in advanced technologies may indicate appropriate security program capabilities.</t>
  </si>
  <si>
    <t>This question is primarily focused on the capability of a solution provider's security program. Understanding the size and skillsets of a solution provider (taken from other responses) is needed to determine the appropriateness of the solution provider's response to this question.</t>
  </si>
  <si>
    <t>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t>
  </si>
  <si>
    <t>In the context of the CIA triad, this question is focused on system integrity, ensuring that system changes are only executed according to policy. Additionally, it is expected that devices used to access the solution provider's systems are properly managed and secured.</t>
  </si>
  <si>
    <t>Follow up with a robust question set if the solution provider cannot clearly state full control of their system patching strategy. Questions about patch testing, testing environments, threat mitigation, incident remediation, etc., are appropriate.</t>
  </si>
  <si>
    <t>This is a general inquiry to determine if the solution provider has reviewed the institution's policies and is committed to complying with them.</t>
  </si>
  <si>
    <t>If a solution provider is vague in their response, follow up with direct questions about the institution's policies and ensure the expectation of compliance is clear with the solution provider.</t>
  </si>
  <si>
    <t>This is a general inquiry to determine if the solution provider is well-versed in applicable laws and regulations that apply in the institution's region of business operation.</t>
  </si>
  <si>
    <t>If a solution provider is vague in their response, follow up with direct questions about doing business in your state/region/country and any laws that are pertinent to the institution.</t>
  </si>
  <si>
    <t>Mature solution lifecycle management can position a solution provider to sufficiently plan, implement, and manage systems that better protect institutional data.</t>
  </si>
  <si>
    <t>Although withdrawn by NIST, the Security Considerations in the Systems Development Life Cycle (SP 800-64r2) document is an excellent resource to provide guidance to solution providers (i.e., set expectations). Follow-up questions to SDLC use will be institution/implementation specific.</t>
  </si>
  <si>
    <t>The use of detective and preventive controls in the hiring process serves a valuable role in protecting institutional data. As these are often HR documented policies, a solution provider should have their practices well-documented and ready for review, upon request.</t>
  </si>
  <si>
    <t>Ask the solution provider if background checks and/or screening are conducted in any capacity, at any time during the employment period. Ask about the precautions they take to ensure the intellectual property is secured and inquire if user data is treated in an appropriate manner.</t>
  </si>
  <si>
    <t>If a solution provider's practices are not clear, inquire about training requirements for employees, especially the frequency and scope of content.</t>
  </si>
  <si>
    <t>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t>
  </si>
  <si>
    <t>If the solution provider does not have an incident response plan, point them to the NIST Computer Security Incident Handling Guide &lt;https://csrc.nist.gov/publications/detail/sp/800-61/rev-2/final&gt;.</t>
  </si>
  <si>
    <t>Ask the solution provider to summarize their implemented policies and/or procedures.</t>
  </si>
  <si>
    <t>This question aims to understand the physical security state of the solution provider's operating environment and whether or not physical assets are appropriately protected.</t>
  </si>
  <si>
    <t>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t>
  </si>
  <si>
    <t>If the solution provider does not have an incident response plan, direct them to the NIST Computer Security Incident Handling Guide &lt;https://csrc.nist.gov/publications/detail/sp/800-61/rev-2/final&gt;.</t>
  </si>
  <si>
    <t>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</si>
  <si>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The incident team structure (internal vs. external), size, and capabilities of a solution provider have a significant impact on their ability to respond to and protect an institution's data. Use the knowledge of this response when evaluating other solution provider statements.</t>
  </si>
  <si>
    <t>If the solution provider does not have an incident response team, direct them to the NIST Computer Security Incident Handling Guide &lt;https://csrc.nist.gov/publications/detail/sp/800-61/rev-2/final&gt;.</t>
  </si>
  <si>
    <t>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t>
  </si>
  <si>
    <t>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</si>
  <si>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Ask if there are plans to implement these processes. Ask the solution provider to summarize their decision behind not scanning their applications for vulnerabilities prior to release.</t>
  </si>
  <si>
    <t>If a solution provider is scanning its applications and/or systems, oftentimes an institution will want to review the report, if possible. Preferably, any finding on the reports will have a matching mitigation action.</t>
  </si>
  <si>
    <t>If a solution provider is hesitant to share the report, ask for a summarized version; some insight is better than none.</t>
  </si>
  <si>
    <t>Many higher education institutions are capable of performing vulnerability assessments and/or penetration testing on their solution providers' infrastructures. This question confirms the possibility of conducting these actions against the solution provider's infrastructure.</t>
  </si>
  <si>
    <t>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</si>
  <si>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t>
  </si>
  <si>
    <t>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</si>
  <si>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If REQU-05 is no, populate solution provider answer with B6 in Auto Responses tab</t>
  </si>
  <si>
    <t>Do accounts used for solution provider-supplied remote support abide by the same authentication policies and access logging as the rest of the system?</t>
  </si>
  <si>
    <t>If REQU-06 is no, populate solution provider answer with B7 in Auto Responses tab</t>
  </si>
  <si>
    <t>If REQU-07 is no, populate solution provider answer with B8 in Auto Responses tab</t>
  </si>
  <si>
    <t>Ask the solution provider to summarize the best practices for securing their system(s) administratively without the use of RBAC. Make sure to understand the administrative requirements/overhead introduced in the solution provider's environment.</t>
  </si>
  <si>
    <t>Ask the solution provider to summarize the reasoning behind this business process and request additional documentation that outlines the security controls implemented to safeguard institutional data.</t>
  </si>
  <si>
    <t>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t>
  </si>
  <si>
    <t>If a weak response is given to this answer, it is appropriate to ask directed answers to get specific information. Ensure that questions are targeted to ensure responses will come from the appropriate party within the solution provider.</t>
  </si>
  <si>
    <t>Standard documentation question. With an on-premise device, the possibility to tie-in with existing monitoring/management systems is beneficial. The solution provider's response should be clear and concise.</t>
  </si>
  <si>
    <t>This question is primarily focused on system(s) integrity and confidentiality. The solution provider's response should clearly state the system(s) capabilities to properly monitor for (and alert for) malicious activity.</t>
  </si>
  <si>
    <t>We want to establish longevity of a solution and whether or not a solution provider is new to the higher education space.</t>
  </si>
  <si>
    <t>Normally a solution provider will state their overall longevity but not talk about the software/service/product under evaluation. Follow-ups includes specific questions about the origins of the software/service/product and references will be requested.</t>
  </si>
  <si>
    <t>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t>
  </si>
  <si>
    <t>If REQU-04 is no, populate solution provider answer with B5 in Auto Responses tab</t>
  </si>
  <si>
    <t>If REQU-04 is no, populate solution provider answer with B5 in Auto Responses tab; If AIQU-01 is no, populate with B9</t>
  </si>
  <si>
    <t>If REQU-04 is no, populate solution provider answer with B5 in Auto Responses tab; If AIQU-02 is no, populate with B10</t>
  </si>
  <si>
    <t>If REQU-04 is no, populate solution provider answer with B5 in Auto Responses tab; If AIQU-02 is no, populate with B9</t>
  </si>
  <si>
    <r>
      <t xml:space="preserve">HECVAT Solution Provider Response - </t>
    </r>
    <r>
      <rPr>
        <b/>
        <i/>
        <sz val="20"/>
        <color theme="0"/>
        <rFont val="Verdana"/>
        <family val="2"/>
      </rPr>
      <t>Product</t>
    </r>
  </si>
  <si>
    <r>
      <t xml:space="preserve">HECVAT Solution Provider Response - </t>
    </r>
    <r>
      <rPr>
        <b/>
        <i/>
        <sz val="20"/>
        <color theme="0"/>
        <rFont val="Verdana"/>
        <family val="2"/>
      </rPr>
      <t>Infrastructure</t>
    </r>
  </si>
  <si>
    <r>
      <t xml:space="preserve">HECVAT Solution Provider Response - </t>
    </r>
    <r>
      <rPr>
        <b/>
        <i/>
        <sz val="20"/>
        <color theme="0"/>
        <rFont val="Verdana"/>
        <family val="2"/>
      </rPr>
      <t>IT Accessibility</t>
    </r>
  </si>
  <si>
    <r>
      <t xml:space="preserve">HECVAT Solution Provider Response - </t>
    </r>
    <r>
      <rPr>
        <b/>
        <i/>
        <sz val="20"/>
        <color theme="0"/>
        <rFont val="Verdana"/>
        <family val="2"/>
      </rPr>
      <t>Case-Specific</t>
    </r>
    <r>
      <rPr>
        <b/>
        <sz val="20"/>
        <color theme="0"/>
        <rFont val="Verdana"/>
        <family val="2"/>
      </rPr>
      <t xml:space="preserve"> </t>
    </r>
    <r>
      <rPr>
        <b/>
        <i/>
        <sz val="20"/>
        <color theme="0"/>
        <rFont val="Verdana"/>
        <family val="2"/>
      </rPr>
      <t>Questions</t>
    </r>
  </si>
  <si>
    <r>
      <t>HECVAT Solution Provider Response -</t>
    </r>
    <r>
      <rPr>
        <b/>
        <i/>
        <sz val="20"/>
        <color theme="0"/>
        <rFont val="Verdana"/>
        <family val="2"/>
      </rPr>
      <t xml:space="preserve"> AI</t>
    </r>
  </si>
  <si>
    <r>
      <t xml:space="preserve">HECVAT Solution Provider Response - </t>
    </r>
    <r>
      <rPr>
        <b/>
        <i/>
        <sz val="20"/>
        <color theme="0"/>
        <rFont val="Verdana"/>
        <family val="2"/>
      </rPr>
      <t>Privacy</t>
    </r>
  </si>
  <si>
    <t>Solution Provider Name</t>
  </si>
  <si>
    <t>Solution Provider Contact Name</t>
  </si>
  <si>
    <t>Solution Provider Contact Title</t>
  </si>
  <si>
    <t>Solution Provider Contact Email</t>
  </si>
  <si>
    <t>Solution Provider Contact Phone Number</t>
  </si>
  <si>
    <t>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t>
  </si>
  <si>
    <t>Solution Provider Accessibility Contact Name</t>
  </si>
  <si>
    <t>Solution Provider Accessibility Contact Title</t>
  </si>
  <si>
    <t>Solution Provider Accessibility Contact Email</t>
  </si>
  <si>
    <t>Solution Provider Accessibility Contact Phone Number</t>
  </si>
  <si>
    <t>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t>
  </si>
  <si>
    <t>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</si>
  <si>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t>
  </si>
  <si>
    <t>Solution Providers that operate their own datacenter(s) can implement their own monitoring strategy. Use the solution provider's response to this questions to verify/validate other responses related to ownership/co-location/physical security.</t>
  </si>
  <si>
    <t>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</si>
  <si>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</si>
  <si>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</si>
  <si>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</si>
  <si>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List each third party and why institutional data is shared with them. Format example: [Third Party Name] - Reason</t>
  </si>
  <si>
    <t>This includes any interface for end users and interfaces used by administrators at the institution.</t>
  </si>
  <si>
    <t>Instructions for High-Risk Scorecard</t>
  </si>
  <si>
    <t>Based on the response to AIPL-03, this question does not apply to this product or service.</t>
  </si>
  <si>
    <t>* Denotes critical questions. Critical questions are those deemed most important to institutions by higher education volunteers.</t>
  </si>
  <si>
    <t>3. For questions that are qualitative or for which you disagree with the preferred response, make a selection in the "Compliant Override" dropdown to adjust the question's impact on the score.</t>
  </si>
  <si>
    <t>DO complete the On-Premises Data Solutions section in the Case-Specific worksheet.</t>
  </si>
  <si>
    <t>DO NOT complete the On-Premises Data Solutions section in the Case-Specific worksheet.</t>
  </si>
  <si>
    <t xml:space="preserve">4. Each worksheet shows a report for that section. See the "Analyst Report" sheet for a full report of all sections. </t>
  </si>
  <si>
    <t>5. Return the completed file to institutions.</t>
  </si>
  <si>
    <t>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t>
  </si>
  <si>
    <t>This information defines the scale of company (support, resources, skillsets), general information about the organization that may be concerning.</t>
  </si>
  <si>
    <t>Does your product or service have an interface?</t>
  </si>
  <si>
    <t>Is the solution designed to process, store, or transmit credit card information?</t>
  </si>
  <si>
    <r>
      <t>Do you have a well-documented business continuity plan (BCP), with a clear owner, that is tested annually?</t>
    </r>
    <r>
      <rPr>
        <sz val="11"/>
        <color rgb="FFFF0000"/>
        <rFont val="Arial"/>
        <family val="2"/>
      </rPr>
      <t>*</t>
    </r>
  </si>
  <si>
    <t>SSAE 18 and SOC2 audits are standard documentation, relevant to institutions requiring a solution provider to undergo SSAE 18 audits.</t>
  </si>
  <si>
    <t>Has a VPAT or ACR been created or updated for the solution and version under consideration within the past 12 months?*</t>
  </si>
  <si>
    <t>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t>
  </si>
  <si>
    <t>Cross-reference Accessibility Conformance Reports (ACR) with any answers from ITAC-14 about product roadmaps for accessibility improvements.</t>
  </si>
  <si>
    <t>If claims are made about accessibility and there is no supporting documentation on how they can be achieved, ensure that intended configurations and uses of the product in question were assessed for any accessibility documentation or claims.</t>
  </si>
  <si>
    <t>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t>
  </si>
  <si>
    <t>A detailed accessibility roadmap should reference improvements and progress on known accessibility issues as appropriate but does not necessarily need to list unreleased product features.</t>
  </si>
  <si>
    <t>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t>
  </si>
  <si>
    <t>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t>
  </si>
  <si>
    <t>Do you have contractual language in place with third parties governing access to institutional data?*</t>
  </si>
  <si>
    <t>Do the contracts in place with these third parties address liability in the event of a data breach?*</t>
  </si>
  <si>
    <t>Is the data encrypted (at rest) while in the consultant's possession?*</t>
  </si>
  <si>
    <t>Can you provide the institution documentation regarding the retention period for those logs, how logs are protected, and whether they are accessible to the customer (and if so, how)?*</t>
  </si>
  <si>
    <t>Ensure that all elements of AAAI-10 are clearly stated in your response.</t>
  </si>
  <si>
    <t>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t>
  </si>
  <si>
    <t>Do you regularly scan for common web application security vulnerabilities (e.g., SQL injection, XSS, XSRF, etc.)?</t>
  </si>
  <si>
    <t>Have you entered into a Business Associate Agreements with all subcontractors who may have access to protected health information (PHI)?*</t>
  </si>
  <si>
    <t>Have you conducted a risk analysis as required under the HIPAA Security Rule?</t>
  </si>
  <si>
    <t>Are you on the list of Visa approved service providers?</t>
  </si>
  <si>
    <t>This is standard documentation, relevant to institution implementations requiring FERPA compliance.</t>
  </si>
  <si>
    <t>Do you have contractual agreements with third parties that require them to maintain standards and to comply with all regulatory requirements?*</t>
  </si>
  <si>
    <t>Does your solution have an AI risk model when developing or implementing your solution's AI model?*</t>
  </si>
  <si>
    <t>In the event of an incident, can your solution's AI features be disabled in a timely manner?*</t>
  </si>
  <si>
    <t>If disabled because of an incident, can your solution's AI features be re-enabled in a timely manner?*</t>
  </si>
  <si>
    <t>Do you have documented technical and procedural processes to address potential negative impacts of AI as described by the AI Risk Management Framework (RMF)?</t>
  </si>
  <si>
    <t xml:space="preserve"> Authentication, Authorization, and Account Management</t>
  </si>
  <si>
    <t xml:space="preserve">HIPAA Compliance </t>
  </si>
  <si>
    <t>Do your workforce members receive regular training related to the Health Insurance Portability and Accountability Act (HIPAA) Privacy and Security Rules and the HITECH Act?*</t>
  </si>
  <si>
    <t>Question Auto-Response</t>
  </si>
  <si>
    <t>The use case, vendor infrastructure, and types of services offered will greatly affect the need for various firewalling devices. The focus of this question is integrity, ensuring that the systems hosting institutional data are limited in need-only communications.</t>
  </si>
  <si>
    <t>Follow-up inquiries for firewall capabilities will be institution/implementation specific.</t>
  </si>
  <si>
    <t>This sheet provides additional context on each questions for analysts at institutions. In most cases, you will find a reason for each question as well as follow-up inquiries that may be helpful.</t>
  </si>
  <si>
    <t xml:space="preserve">Use the "find" feature (CTRL+F on a PC or Command+F on a Mac) to search for a question code </t>
  </si>
  <si>
    <t xml:space="preserve">Cells contained in this worksheet may contain cells with dropdown lists as well as autopopulated formulas. </t>
  </si>
  <si>
    <t>End Table Data</t>
  </si>
  <si>
    <t xml:space="preserve">End of worksheet </t>
  </si>
  <si>
    <t xml:space="preserve">There are cells within this worksheet are auto populated from the previous worksheets and drop down lists. </t>
  </si>
  <si>
    <t xml:space="preserve">There are cells within this worksheet are auto populated from multiple worksheets in the workbook, and drop down lists. </t>
  </si>
  <si>
    <t xml:space="preserve">The cells within this worksheet contain questions, the reason for the question, and follow-up inquiries/responses </t>
  </si>
  <si>
    <t xml:space="preserve">End Table Data </t>
  </si>
  <si>
    <t xml:space="preserve">This worksheet contains Auto-Responses that auto-populate the other worksheets and the context for when they are used. </t>
  </si>
  <si>
    <t xml:space="preserve">This worksheet is auto-populated with data taken from previous worksheets. </t>
  </si>
  <si>
    <t xml:space="preserve">End of workbook </t>
  </si>
  <si>
    <t xml:space="preserve">This worksheet is a combination of cells that are autopopulated as well as ones to be filled in. </t>
  </si>
  <si>
    <t>Is a SOC 2 Type 2 report available for the hosting environment?</t>
  </si>
  <si>
    <t>Do you require multifactor authentication for all administrative accounts in your environment?</t>
  </si>
  <si>
    <t>Have the relevant policies/plans been tested?*</t>
  </si>
  <si>
    <t>Can access be restricted based on source IP address?*</t>
  </si>
  <si>
    <t>Have you identified areas of risk?*</t>
  </si>
  <si>
    <t>Are your servers separated from other companies via a physical barrier, such as a cage or hard walls?</t>
  </si>
  <si>
    <t>Does the process described in DATA-15 adhere to DoD 5220.22-M and/or NIST SP 800-88 standards?</t>
  </si>
  <si>
    <t>Does your solution have access to personal or institutional data?</t>
  </si>
  <si>
    <t xml:space="preserve">Note: The "Organization" tab is required for ALL products and services. </t>
  </si>
  <si>
    <t>(Will reflect across applicable tabs)</t>
  </si>
  <si>
    <t>For full instructions, please visit EDUCAUSE.edu/HECVAT</t>
  </si>
  <si>
    <t>For full instructions, please visit educause.edu/HECVAT</t>
  </si>
  <si>
    <t>Does the center where the data will reside have cooling and fire-suppression systems that are active and regularly tested?</t>
  </si>
  <si>
    <t>2. Complete the "Organization" tab and the applicable questions in each of the next 5 tabs (Product through Privacy) that apply, based on your answers to the "Required Questions."</t>
  </si>
  <si>
    <t>Ensure that all elements of AAAI-11 are clearly stated in your response.</t>
  </si>
  <si>
    <t>Do you separate ML training data from your ML solution data?*</t>
  </si>
  <si>
    <t>Do you collect, process, or store demographic information?*</t>
  </si>
  <si>
    <t>Do you collect personal information only for the purpose(s) identified in the agreement with an institution or, if there is none, the purpose(s) identified in the privacy notice?</t>
  </si>
  <si>
    <t>Do you disclose personal information to third parties only for the purpose(s) identified in the privacy notice or with the implicit or explicit consent of the individual?</t>
  </si>
  <si>
    <t>Do you maintain accurate, complete, and relevant personal information for the purposes identified in the privacy notice?</t>
  </si>
  <si>
    <t>HECVAT Institution Evaluation - High Risk</t>
  </si>
  <si>
    <t>HECVAT Institution Evaluation - Privacy</t>
  </si>
  <si>
    <t>HECVAT Analyst Report - Privacy</t>
  </si>
  <si>
    <t>The answer to this question indicates if the "Product" and "Infrastructure" tabs are required</t>
  </si>
  <si>
    <t>The answer to this question indicates if the "IT Accessibility" questions are required</t>
  </si>
  <si>
    <t>The answer to this question indicates if the "Consulting" questions are required</t>
  </si>
  <si>
    <t>The answer to this question indicates if the "AI" questions are required</t>
  </si>
  <si>
    <t>The answer to this question indicates if the "HIPAA" questions are required</t>
  </si>
  <si>
    <t>The answer to this question indicates if the "PCI DSS" questions are required</t>
  </si>
  <si>
    <t>The answer to this question indicates if the "On-Premises Data Solutions" questions are required</t>
  </si>
  <si>
    <t>To confirm keyboard-only claims, follow the how-to at Minimum Expectations for applications webpage &lt;https://go.iu.edu/minimum-expectations&gt; from Indiana University or reference WebAIM’s Keyboard Testing guidance &lt;https://webaim.org/techniques/keyboard/#testing&gt;.</t>
  </si>
  <si>
    <t xml:space="preserve">Based on the response to REQU-01 on the "START HERE" tab, this question does not apply to this product or service. </t>
  </si>
  <si>
    <t>Based on the response to REQU-02 on the "START HERE" tab, this question does not apply to this product or service.</t>
  </si>
  <si>
    <t>Based on the response to REQU-03 on the "START HERE" tab, this question does not apply to this product or service.</t>
  </si>
  <si>
    <t>Based on the response to REQU-04 on the "START HERE" tab, this question does not apply to this product or service.</t>
  </si>
  <si>
    <t>Based on the response to REQU-05 on the "START HERE" tab, this question does not apply to this product or service.</t>
  </si>
  <si>
    <t>Based on the response to REQU-06 on the "START HERE" tab, this question does not apply to this product or service.</t>
  </si>
  <si>
    <t>Based on the response to REQU-07 on the "START HERE" tab, this question does not apply to this product or service.</t>
  </si>
  <si>
    <t>Answer</t>
  </si>
  <si>
    <t xml:space="preserve">Federal regulation requires that technology products conform to WCAG 2.1 AA. Technology platforms that do not substantially conform to this standard put schools at risk of not complying with these requirements. </t>
  </si>
  <si>
    <t>Does your product rely on activating a special "accessibility mode," a "lite version," or using an alternate interface (including “overlay” or AI-based alternates)  for accessibility purposes?</t>
  </si>
  <si>
    <t>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t>
  </si>
  <si>
    <t>Provide further details in Additional Information.</t>
  </si>
  <si>
    <t>Indicate which primary standards and all additional standards the solution meets.</t>
  </si>
  <si>
    <t>Please provide plans (when and by whom) of any planned audit, or a rationale if no third-party audit is planned.</t>
  </si>
  <si>
    <t>Audit results, including VPAT/ACRs, are voluntary reports often generated by the creator of the product. Audits conducted and reports generated by expert third parties give greater confidence to customers.</t>
  </si>
  <si>
    <t xml:space="preserve">3. Guidance in column E may change based on your answers to prompt details in "Additional Information." If leaving an answer blank, you must also state why in "Additional Information". </t>
  </si>
  <si>
    <t>Hybrid/Other</t>
  </si>
  <si>
    <t>Copyright © 2025 EDUCAUSE</t>
  </si>
  <si>
    <r>
      <t xml:space="preserve">PRIVACY REFERENCE QUESTIONS </t>
    </r>
    <r>
      <rPr>
        <b/>
        <i/>
        <sz val="14"/>
        <color theme="0"/>
        <rFont val="Verdana"/>
        <family val="2"/>
      </rPr>
      <t>-these fields cannot be edited and must be changed on the "Institution Evaluation" tab.</t>
    </r>
  </si>
  <si>
    <t>You can find full tutorials on the HECVAT at educause.edu/HECVAT</t>
  </si>
  <si>
    <t>Cells A20 to A40 have intentionally been left blank.</t>
  </si>
  <si>
    <t>Include in Score?</t>
  </si>
  <si>
    <t>Max Score</t>
  </si>
  <si>
    <t>3. Changes cannot be made in this sheet. Please make changes in the appropriate "Evaluation" tab.</t>
  </si>
  <si>
    <r>
      <t xml:space="preserve">HECVAT Solution Provider Response - </t>
    </r>
    <r>
      <rPr>
        <b/>
        <i/>
        <sz val="20"/>
        <color theme="0"/>
        <rFont val="Verdana"/>
        <family val="2"/>
      </rPr>
      <t>Organization</t>
    </r>
  </si>
  <si>
    <t xml:space="preserve">Required Questions indicate to the solution provider which questions apply to their product or service. </t>
  </si>
  <si>
    <r>
      <t xml:space="preserve">HECVAT™ Solution Provider Response - </t>
    </r>
    <r>
      <rPr>
        <b/>
        <i/>
        <sz val="20"/>
        <color theme="0"/>
        <rFont val="Verdana"/>
        <family val="2"/>
      </rPr>
      <t>Start Here</t>
    </r>
  </si>
  <si>
    <t>HECVAT™ Institution Evaluation</t>
  </si>
  <si>
    <t xml:space="preserve"> Firewalls, IDS, IPS, and Networking</t>
  </si>
  <si>
    <t>At the completion of this contract, will data be returned to the institution and/or deleted from all your systems and archives?</t>
  </si>
  <si>
    <t xml:space="preserve">Please specify if it will be returned, deleted, or both. </t>
  </si>
  <si>
    <t>4. DO NOT complete any fields in the "Evaluation" sheets or the "Analyst Notes" column.</t>
  </si>
  <si>
    <t>Critical Importance/Lite Score</t>
  </si>
  <si>
    <t>Critical Importance Questions (Lite Review Questions)</t>
  </si>
  <si>
    <t xml:space="preserve">4. For instructions on how to do a "HECVAT Lite" evaluation, please visit educause.edu/HECVAT. </t>
  </si>
  <si>
    <t>Is any institutional data retained in AI processing?*</t>
  </si>
  <si>
    <t>N/A Guidance</t>
  </si>
  <si>
    <t>N/A</t>
  </si>
  <si>
    <t>Please explain why this does not apply to your product or service.</t>
  </si>
  <si>
    <t>Do you retain logs for at least as long as required by HIPAA regulations?</t>
  </si>
  <si>
    <t>If you answered "yes" to OPEM-04, are your remote actions and changes logged or otherwise visible to the campus?</t>
  </si>
  <si>
    <t xml:space="preserve">List how long you retain relevant logs. </t>
  </si>
  <si>
    <t>For customers not using SSO, does your solution support local authentication protocols for user and administrator authentication?*</t>
  </si>
  <si>
    <t>For customers not using SSO, can you enforce password/passphrase complexity requirements (provided by the institution)?*</t>
  </si>
  <si>
    <t>For customers not using SSO, does the system have password complexity or length limitations and/or restrictions?*</t>
  </si>
  <si>
    <t>For customers not using SSO, do you have documented password/passphrase reset procedures that are currently implemented in the system and/or customer support?*</t>
  </si>
  <si>
    <t>For customers not using SSO, does your application support integration with other authentication and authorization systems?</t>
  </si>
  <si>
    <t>For customers not using SSO, does your application support directory integration for user accounts?</t>
  </si>
  <si>
    <t>For customers not using SSO, does your application and/or user frontend/portal support multifactor authentication (e.g., Duo, Google Authenticator, OTP, etc.)?</t>
  </si>
  <si>
    <t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t>
  </si>
  <si>
    <t xml:space="preserve">Many institutions have a policy focused on passwords/passphrases, and this question confirms the capacity of a solution provider's solution to comply. If you will be using SSO, consider marking this question as "Do Not Score" in column J of the evaluation tab. </t>
  </si>
  <si>
    <t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t>
  </si>
  <si>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t>
  </si>
  <si>
    <t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t>
  </si>
  <si>
    <t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t>
  </si>
  <si>
    <t>This question does not apply.</t>
  </si>
  <si>
    <t>FERPA-related data includes any data maintained by (or on behalf of) the institution that is directly related to an identifiable student.</t>
  </si>
  <si>
    <t>Provide documentation on the types of FERPA data you process and for what purpose, including data unrelated to service delivery such as marketing.</t>
  </si>
  <si>
    <t>This question will help the institution gain an understanding of the types of data processed by this product or service.</t>
  </si>
  <si>
    <t>Will data be re-disclosed and/or used for any purpose other than directly providing the service, including quality assurance or marketing?</t>
  </si>
  <si>
    <t>GDPR data includes any data related to an identified or identifiable natural person physically located in the European Economic Area (EEA).
PIPL-related data includes any personal data related to an identified or identifiable person located in the People's Republic of China (PRC)</t>
  </si>
  <si>
    <t>Provide documentation of any processes or policies that address compliance with GDPR and/or PIPL as appropriate.</t>
  </si>
  <si>
    <t>Provide documentation of any processes or policies that address compliance with applicable state laws.</t>
  </si>
  <si>
    <t>Identify any applicable regulations and provide documentation of any processes or policies that address compliance with each.</t>
  </si>
  <si>
    <t>If multiple notices are implicated, provide all that apply. If any other documents are incorporated by reference, provide them as well.</t>
  </si>
  <si>
    <t>Please provide details as to the nature of the breach and the remediation conducted.</t>
  </si>
  <si>
    <t>Share any additional details that would help data privacy analysts assess your solution.</t>
  </si>
  <si>
    <t>Have you had any violations of your internal privacy policies or violations of applicable privacy law in the past 36 months?</t>
  </si>
  <si>
    <t xml:space="preserve">Provide documentation about the nature of the violation(s) and any remediative action taken.
</t>
  </si>
  <si>
    <t>This question solicits information about internal privacy policy violations and/or violations of applicable privacy law in the past three years.</t>
  </si>
  <si>
    <t>This can include another office, such as information security, dedicated to privacy protection.</t>
  </si>
  <si>
    <t>Describe who is responsible for data privacy, including department, size, talents, resources, etc.</t>
  </si>
  <si>
    <t>Describe your data privacy office, including size, talents, resources, etc.</t>
  </si>
  <si>
    <t>Any solution provider processing protected student data should have resources/staff dedicated to the protection of the data.</t>
  </si>
  <si>
    <t>SOC 2 Type II audits can be conducted for any or all of five trust principles (confidentiality, integrity, availability, security, and privacy). Answer "yes" if your audit included the privacy principle.</t>
  </si>
  <si>
    <t>If your SOC2 Type II audit does not include the Privacy Trust Service Principle, please explain why it was not included at this time, and provide any plans to include it in future SOC 2 audits. 
If the Privacy Trust Service Principle was not (or will not be) included in the SOC 2 audit, please provide an overview of any other reviews your organization conducts that might address the Privacy Trust Principles.</t>
  </si>
  <si>
    <t>Please indicate whether your organization will allow clients to review current SOC 2 Type II reports and, if so, how the reports will be made available in a timely manner.</t>
  </si>
  <si>
    <t>Please explain why this does not apply to your organization, product or service.</t>
  </si>
  <si>
    <t>This is specifically asking for the Privacy Trust Service Principle, which is not always included in a SOC 2 audit.</t>
  </si>
  <si>
    <t>Standard privacy frameworks help organizations enhance data protection, mitigate privacy risks, and demonstrate compliance with appropriate industry and regulatory standards. This is particularly important when providing services in different jurisdictions.</t>
  </si>
  <si>
    <t>Please provide any plans to conform with one or more of the industry-standard frameworks, including anticipated timelines, and indicate which framework(s) will be used.</t>
  </si>
  <si>
    <t>Indicate which framework(s) are followed; provide documentation on how your organization conforms to your chosen framework(s) and indicate current certification levels, where appropriate.</t>
  </si>
  <si>
    <t>Conformance with industry privacy frameworks can demonstrate an organization's privacy posture and can provide clients a sense of comfort as to the organization's commitment to protection of personal data.</t>
  </si>
  <si>
    <t>If the organization relies on more than one framework or only on portions of a framework, has this been mapped to the Security Controls Framework? If so, please provide a copy of the mapping used.</t>
  </si>
  <si>
    <t>Please provide any plans to develop and implement appropriate employee training as part of onboarding and offboarding.
If no plans currently exist, please provide information on any compensating measures your organization takes to address this issue.</t>
  </si>
  <si>
    <t>Provide an overview of your organization's relevant onboarding/offboarding policy and employee training on information security and privacy.</t>
  </si>
  <si>
    <t>If training is provided to specific employee groups only, please provide information as to which groups and an overview of the training for each group.</t>
  </si>
  <si>
    <t>Inclusion of language in contractual agreements ensures third parties are aware of and have agreed to their obligations to maintain standards and comply with all regulatory requirements in regards to protection of personal data they handle on behalf of your organization.</t>
  </si>
  <si>
    <t>State your plans to ensure appropriate language is included in new and renewed contracts. State how your organization ensures that third parties maintain standards and comply with all regulatory requirements without contractual agreements to do so.</t>
  </si>
  <si>
    <t>Provide a summary of the contractual language used and your processes for ensuring appropriate language is regularly reviewed and is included in both new and renewed agreements.</t>
  </si>
  <si>
    <t>Inclusion of language in contractual agreements ensures third parties are aware of and have agreed to their obligations to maintain standards and comply with all regulatory requirements in regards to protection of personal data they handle on behalf of the organization.</t>
  </si>
  <si>
    <t>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t>
  </si>
  <si>
    <t>State your plans to perform data privacy assessments of third parties, including anticipated timelines and remediations if existing third parties cannot maintain or ensure privacy and security of client data entrusted to your organization.</t>
  </si>
  <si>
    <t>The organization providing a product or service cannot reasonably claim it appropriately protects privacy of information entrusted to it if it relies on third parties or subprocessors that do not likewise meet or exceed the claimed levels of protection.</t>
  </si>
  <si>
    <t>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t>
  </si>
  <si>
    <t>The change management process minimizes disruption and maximizes benefits and should contain a privacy review process.</t>
  </si>
  <si>
    <t>Please describe your process for privacy review.</t>
  </si>
  <si>
    <t>It is important that change management not overlook any privacy considerations.</t>
  </si>
  <si>
    <t>If the answer is yes, describe the process; if the answer is no, describe plans to implement.</t>
  </si>
  <si>
    <t>Policy and procedure should include specific steps to take in the process of mitigating privacy risks.</t>
  </si>
  <si>
    <t>Please provide an overview of privacy risk mitigation.</t>
  </si>
  <si>
    <t>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t>
  </si>
  <si>
    <t>Describe which demographic information you handle and the source of the requirements, if applicable.</t>
  </si>
  <si>
    <t>This data can be included in data sets that are deidentified but is sensitive data that could be reidentified if paired with other data points.</t>
  </si>
  <si>
    <t>Because of the nature of such data, it is important to have a full understanding of how the data is used and protected.</t>
  </si>
  <si>
    <t>Do you capture or create genetic, biometric, or behaviometric information (e.g., facial recognition or fingerprints)?*</t>
  </si>
  <si>
    <t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t>
  </si>
  <si>
    <t>Briefly summarize your use of such information and the protection thereof.</t>
  </si>
  <si>
    <t>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t>
  </si>
  <si>
    <t>Given the vast number of privacy regulations and laws throughout the world, it is important to know when, where, why, and how institutional data is being shared outside the United States. This information is necessary to ensure compliance and to protect the institutional data.</t>
  </si>
  <si>
    <t>Device information can be captured for a variety of reasons, from analytics to marketing to network management and security. It is important to know the details in order to be clear on the privacy implications.</t>
  </si>
  <si>
    <t>Describe what information you collect and the reason for collecting it.</t>
  </si>
  <si>
    <t>This question can clarify whether there are any indirect identifiers that don't appear to be readily identifiable but that could be identifiable in the event of unauthorized access or use.</t>
  </si>
  <si>
    <t>Web tracking can be used to identify users via their IP address, login information, browser information, etc.</t>
  </si>
  <si>
    <t>Accessing institutional data may be necessary for legitimate business purposes.</t>
  </si>
  <si>
    <t>Institutional data may be sensitive in nature and should only be accessed for legitimate business purposes.</t>
  </si>
  <si>
    <t>If no, why not? Are there plans for this to be implemented and, if so, when?</t>
  </si>
  <si>
    <t>Personal data that is handled improperly or against law/regulation can have significant negative impact.</t>
  </si>
  <si>
    <t>Are there plans to implement? If so, when will this be completed?</t>
  </si>
  <si>
    <t>It's important for customers to know their data will remain private after being shared with the vendor.</t>
  </si>
  <si>
    <t>Are your internal privacy practices and obligations documented in internal corporate privacy policy/policies? Does the internal privacy policy explain your organization's policies and practices regarding collection of personal information and other data about individuals?</t>
  </si>
  <si>
    <t>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t>
  </si>
  <si>
    <t>Building privacy principles into the product lifecycle (e.g., privacy-by-design) can help ease the privacy management process.</t>
  </si>
  <si>
    <t>State how quickly the institution will be notified once a breach is identified, in addition to notifying the necessary governmental agencies based on the extent of the breach.</t>
  </si>
  <si>
    <t>It's very important to get out in front of the impact from a system breach. Once a breach has been confirmed, timely communication is imperative.</t>
  </si>
  <si>
    <t>This is usually dictated by the government agency for the geographic region and, possibly, by your cybersecurity insurance carrier.</t>
  </si>
  <si>
    <t>These policies may include specific user consent practices, data classification standards, and handling of sensitive information.</t>
  </si>
  <si>
    <t>Explain the legal or operational reasons and offer an alternative policy.</t>
  </si>
  <si>
    <t>This question can help gauge a solution provider's willingness to align with institutional data privacy and protection policies before the contracting stage.</t>
  </si>
  <si>
    <t>Indicates whether your organization is legally bound by state, federal, or local laws where the institution operates.</t>
  </si>
  <si>
    <t>Explain why your operations fall outside the region’s legal scope and how you nevertheless ensure regulatory compliance.</t>
  </si>
  <si>
    <t>This question identifies whether the institution and solution provider are beholden to the same laws. If not, this should be covered in the contract.</t>
  </si>
  <si>
    <t>Which laws apply to your operations in institution's region? Where is institutional data processed or stored? Provide a link or document summarizing your compliance stance.</t>
  </si>
  <si>
    <t>Privacy awareness/training refers to the ongoing education provided to individuals who handle sensitive data to ensure they understand privacy obligations, data protection principles, and regulatory requirements (e.g., FERPA, HIPAA, GDPR).</t>
  </si>
  <si>
    <t>Describe plans to include data privacy training or why you have determined it is not needed.</t>
  </si>
  <si>
    <t>Briefly describe what is included in the training.</t>
  </si>
  <si>
    <t>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t>
  </si>
  <si>
    <t>Your response should include who must complete the training.</t>
  </si>
  <si>
    <t>This question serves a critical purpose in evaluating a vendor or institution’s commitment to data protection, risk mitigation, and regulatory compliance.</t>
  </si>
  <si>
    <t>This question helps assess whether privacy is treated as an organizational responsibility and whether the institution enforces consistent practices to reduce human risk factors.</t>
  </si>
  <si>
    <t>This question is intended to assess whether an institution or vendor is proactively managing the risks, responsibilities, and ethical implications of AI use, especially as it relates to sensitive data, autonomy, and fairness.</t>
  </si>
  <si>
    <t>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t>
  </si>
  <si>
    <t>Examples of such automated decisions could include automatically denying or approving user access requests, flagging or blocking transactions based on risk scores, or AI-driven decisions that affect user outcomes (e.g., eligibility, grading, pricing).</t>
  </si>
  <si>
    <t>Provide information on which decisions are automated and why.</t>
  </si>
  <si>
    <t>This question identifies potential privacy, ethical, security, and compliance risks that may arise from fully automated systems, especially those that affect individuals or their data.</t>
  </si>
  <si>
    <t>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t>
  </si>
  <si>
    <t>Describe plans to implement processes in the future.</t>
  </si>
  <si>
    <t>Briefly describe processes.</t>
  </si>
  <si>
    <t>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t>
  </si>
  <si>
    <t>Explain any plans to develop a policy. If no plans exist, explain why not.</t>
  </si>
  <si>
    <t>Do you share any institutional data with law enforcement without a valid warrant or subpoena?*</t>
  </si>
  <si>
    <t>Describe how you ensure this does not occur.</t>
  </si>
  <si>
    <t>Describe the circumstances in which you share with law enforcement.</t>
  </si>
  <si>
    <t>Provide an overview of your incident response team membership and its charge, highlighting the privacy analyst/officer.</t>
  </si>
  <si>
    <t>Explain why not</t>
  </si>
  <si>
    <t>Provide the incident response team membership and charge.</t>
  </si>
  <si>
    <t>Having a privacy analyst/officer on an incident response team can help the company more quickly identify a breach and comply with applicable notification laws.</t>
  </si>
  <si>
    <t>See GDPR Chapter 1, Art. 4, for definitions.</t>
  </si>
  <si>
    <t>Understanding whether the vendor processes data in Europe may help with institutional GDPR compliance.</t>
  </si>
  <si>
    <t>If institution's intended use includes targeting of data subjects in EEA/UK and if vendor marks "no," institution might want to follow up to clarify data collected.</t>
  </si>
  <si>
    <t>See GDPR Chapter 4, Section 4, for DPO information.</t>
  </si>
  <si>
    <t>Vendors targeting services in the EEA/UK should have GDPR-compliant policies and procedures.</t>
  </si>
  <si>
    <t>See GDPR Chapter 5, Art. 46, for SCC information.</t>
  </si>
  <si>
    <t>Vendors targeting services in the EEA/UK should have the ability to agree to the SCCs.</t>
  </si>
  <si>
    <t>See PIPL Chapter 1 for definitions.</t>
  </si>
  <si>
    <t>Understanding whether the vendor processes data in China may help with institutional PIPL compliance.</t>
  </si>
  <si>
    <t>If institution's intended use includes targeting of data subjects in China and if vendor marks "no," institution might want to follow up to clarify data collected.</t>
  </si>
  <si>
    <t>See PIPL Chapter 5 for requirements.</t>
  </si>
  <si>
    <t>Vendors targeting services in China should have the ability to comply with PIPL requirements.</t>
  </si>
  <si>
    <t>Provide timeline for this or reason not to perform.</t>
  </si>
  <si>
    <t>Provide copy, link, or summary overview.</t>
  </si>
  <si>
    <t>Provide link or copy.</t>
  </si>
  <si>
    <t>How do you inform users of changes to the policy?</t>
  </si>
  <si>
    <t>This includes quality assurance, marketing and advertising, etc.</t>
  </si>
  <si>
    <t>Describe purposes not included in an agreement with the institution.</t>
  </si>
  <si>
    <t>Briefly outline data retention policies that do not align with regulations.</t>
  </si>
  <si>
    <t>Data minimization is a basic privacy principle, and it is important to know whether the solution provider is keeping data longer than necessary and introducing a significant privacy risk.</t>
  </si>
  <si>
    <t>Provide a brief overview of processes or procedures to handle privacy-related complaints.</t>
  </si>
  <si>
    <t>Briefly describe method used to mask data.</t>
  </si>
  <si>
    <t>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t>
  </si>
  <si>
    <t>Describe the reason for using data beyond the agreed purpose.</t>
  </si>
  <si>
    <t>Provide evidence of existing processes or policies. The internal privacy policy should explain your organization's policies and practices regarding the collection of personal information and other data about individuals.</t>
  </si>
  <si>
    <t>Briefly outline relevant processes.</t>
  </si>
  <si>
    <t>Provide documentation or explanation of the process to review code. If none exists, explain why.</t>
  </si>
  <si>
    <t>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t>
  </si>
  <si>
    <t>Review the vendor’s explanation for completeness and alignment with institutional data governance policies. Follow up on vague or incomplete answers. If AI use is planned, ask them to note the expected scope.</t>
  </si>
  <si>
    <t>Describe how your service uses AI to process institutional data. Include the types of data involved, the purpose of AI usage, and any decision-making roles AI plays.</t>
  </si>
  <si>
    <t>Ask for documentation or a summary of how AI models are developed or used, including training data sources and whether outputs are reviewed by humans.</t>
  </si>
  <si>
    <t>Evaluate the vendor's data retention practices for compliance with institutional policies. Request clarification on retention periods and data security if needed.</t>
  </si>
  <si>
    <t>Specify what data is retained, for how long, and how it is protected.</t>
  </si>
  <si>
    <t>This question assesses whether institutional data is stored or retained during AI processing, which may have implications for data security, retention policies, and regulatory compliance.</t>
  </si>
  <si>
    <t>Ask for retention schedules, anonymization steps, and whether storage is temporary or permanent. Request a data flow diagram if available.</t>
  </si>
  <si>
    <t>Explain the absence of agreements and indicate whether any are under development or negotiation.</t>
  </si>
  <si>
    <t>List all subprocessors and describe the agreements in place regarding AI and data protection.</t>
  </si>
  <si>
    <t>It's important to ensure that third-party vendors or subprocessors involved in AI processing are contractually bound to protect institutional data and comply with privacy standards.</t>
  </si>
  <si>
    <t>Request copies or summaries of data protection agreements with subprocessors. Ask whether subprocessors are listed publicly and how they are vetted.</t>
  </si>
  <si>
    <t>Confirm whether third-party AI use occurs. Ensure that oversight and contractual protections are in place. Clarify any unclear relationships.</t>
  </si>
  <si>
    <t>Identify third-party AI processors and describe their role and safeguards.</t>
  </si>
  <si>
    <t>This question identifies whether institutional data is shared with or processed by third parties that use AI, which may introduce additional privacy or ethical considerations.</t>
  </si>
  <si>
    <t>Ask for a list of third parties involved in AI processing and their roles. Inquire about oversight mechanisms and whether data is shared across jurisdictions.</t>
  </si>
  <si>
    <t>Provide names of services used and license types. Note whether open-source or experimental tools are used.</t>
  </si>
  <si>
    <t>In most cases, only enterprise licenses allow for an organization to customize what data is collected and how it is used. Free licenses to AI tools could introduce a risk to data.</t>
  </si>
  <si>
    <t>Request proof of licensing or vendor agreements for AI tools. Ask whether open-source or beta tools are used and how they are evaluated for risk.</t>
  </si>
  <si>
    <t>Provide detailed response to the type of data needed for the AI service to function appropriately, the sources of the data, and whether any data shared with the AI service comes from data sources outside the institution.</t>
  </si>
  <si>
    <t>Use of AI services and tools runs a risk of being supported by bad batches or databanks of information. Additionally, harmful bias and other data-quality issues can affect AI system trustworthiness, which could lead to negative impacts.</t>
  </si>
  <si>
    <t>Explain any data minimization processes used to exclude institutional data from AI algorithm or training, etc.</t>
  </si>
  <si>
    <t>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t>
  </si>
  <si>
    <t>Provide the language used for a user to opt-out or consent to the use of AI</t>
  </si>
  <si>
    <t>Does your application require access to location or GPS data?*</t>
  </si>
  <si>
    <t>Are ownership rights to all data, inputs, outputs, and metadata retained even through a provider acquisition or bankruptcy event?*</t>
  </si>
  <si>
    <t>Are you offering a cloud-based product?</t>
  </si>
  <si>
    <t>If you are only offering a service, or are offering a product that is not cloud-based, answer "no".</t>
  </si>
  <si>
    <t>Based on the response to AIQU-01, this question does not apply to this product or service.</t>
  </si>
  <si>
    <t>Based on the response to AIQU-02, this question does not apply to this product or service.</t>
  </si>
  <si>
    <t>Answer "yes" even if you do not create your own machine learning solutions, and answer the questions as they apply to your contractual relationship with the third party you utilize.</t>
  </si>
  <si>
    <t>DO complete the Machine Learning section (AIML)</t>
  </si>
  <si>
    <t>DO NOT complete the Machine Learning section (AIML)</t>
  </si>
  <si>
    <t>Answer "yes" even if you do not train your own LLM models, and answer the questions as they apply to your contractual relationship with the third party you utilize.</t>
  </si>
  <si>
    <t>DO complete the Large Language Model section (AILM)</t>
  </si>
  <si>
    <t>DO NOT complete the Large Language Model section (AILM)</t>
  </si>
  <si>
    <t>Examples include NIST AI RMF, OWASP Top 10, RAFT, and MITRE ATLAS.</t>
  </si>
  <si>
    <t>Provide the AI risk framework, model, or methodology used.</t>
  </si>
  <si>
    <t>Describe your current AI risk management strategy. Provide a timeline for implementation of an AI risk framework, model, or methodology.</t>
  </si>
  <si>
    <t>To ensure the vendor has proactive governance and has a defined, documented risk management strategy that is aligned with responsible AI.</t>
  </si>
  <si>
    <t>Can the AI risk model or framework in use be shared? How often is it reviewed and updated? If an AI framework is not in use, what practices are currently used to address AI risks?</t>
  </si>
  <si>
    <t>Describe the level of AI feature control at the institutional and user level.</t>
  </si>
  <si>
    <t>Provide alternate workflows to disable AI features. Describe plans to include control of AI features.</t>
  </si>
  <si>
    <t>To verify whether customers have control over AI features and can opt out when AI is not desired or creates compliance concerns.</t>
  </si>
  <si>
    <t>How easy is it to disable/enable AI features?</t>
  </si>
  <si>
    <t>Explain what alternative responsible AI awareness activities are in place, including whether future training is planned.</t>
  </si>
  <si>
    <t>To confirm that staff are educated on ethical AI principles, data stewardship, bias mitigation, and compliance, ensuring responsible use and support for customers.</t>
  </si>
  <si>
    <t>Clarify the structure and enforcement of training supports transparency and accountability in AI-related operations.</t>
  </si>
  <si>
    <t>To help institutions understand the scope, functionality, and intended use cases of the AI feature(s) and evaluate whether its capabilities align with institutional needs and risk tolerance.</t>
  </si>
  <si>
    <t>Can documentation of supported AI functions, limitations, and safeguards be provided?</t>
  </si>
  <si>
    <t>Can you provide examples of data loss prevention (DLP) features? Where are these DLP solutions implemented? Are these DLP features customizable?</t>
  </si>
  <si>
    <t>Describe the steps your developers take to manage AI risks. Include a timeline for implementing policy and procedures for managing AI specific risks.</t>
  </si>
  <si>
    <t>To ensure that the vendor has established a mature AI governance framework, is prepared to manage the complex and evolving risks of AI, and is not likely to transfer that risk directly to customers.</t>
  </si>
  <si>
    <t>Given that a lack of formal governance can expose our institution to significant legal and reputational risks, how can you assure us that partnering with you will not transfer these liabilities to our organization?</t>
  </si>
  <si>
    <t>Provide the standard or framework used to identify and measure AI risk.</t>
  </si>
  <si>
    <t>Provide a timeline for performing an AI specific risk assessment. Describe your plan for identifying and measuring AI risk in the future.</t>
  </si>
  <si>
    <t>To help an organization verify that the vendor has a mature, proactive risk management framework in place, which is essential to protect the organization from the legal, financial, and reputational liabilities that can arise from a poorly governed AI system.</t>
  </si>
  <si>
    <t>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t>
  </si>
  <si>
    <t>Provide documentation on how to disable AI features. Include a time estimate for the time between disabling the feature and when the feature is inaccessible to users.</t>
  </si>
  <si>
    <t>The ability to disable/enable AI features is essential for containing an incident and preventing a security or ethical failure.</t>
  </si>
  <si>
    <t>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t>
  </si>
  <si>
    <t>Provide documentation on how to enable AI features. Include a time estimate for the time between enabling the feature and when the feature is accessible to users.</t>
  </si>
  <si>
    <t>This helps an organization create a business continuity plan and incident recovery plan.</t>
  </si>
  <si>
    <t>Responsible AI development per NIST AI RMF, page 25.</t>
  </si>
  <si>
    <t>Describe your plan and timeline for implementing technical and procedural processes to mitigate negative impacts of AI, as defined by the NIST AI RMF.</t>
  </si>
  <si>
    <t>This question helps maximize the value of the AI feature(s) while minimizing the negative impacts of AI.</t>
  </si>
  <si>
    <t>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t>
  </si>
  <si>
    <t>Please answer based on whether your AI model supports the removal or unlearning of sensitive data, whether it is introduced intentionally or unintentionally. Consider whether data can be traced and deleted from training sets, vector stores, memory, or other components of the AI system. This includes data removal in compliance with privacy regulations and customer requests.</t>
  </si>
  <si>
    <t>Describe how the AI model supports data deletion or unlearning and whether it is manual or automated; include retention timelines, limitations, and how requests are handled. Reference compliance with FERPA, GDPR Article 17, and state privacy laws.</t>
  </si>
  <si>
    <t>If data removal or unlearning is not supported, explain why and describe compensating controls (e.g., filtering, short-term memory, differential privacy). Clarify how sensitive data is managed, and note any future plans to support deletion requests.</t>
  </si>
  <si>
    <t>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t>
  </si>
  <si>
    <t>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t>
  </si>
  <si>
    <t>Please answer based on whether your solution uses user input data (e.g., prompts, uploads, queries) to fine-tune, train, or otherwise influence the behavior of your AI model. Consider any use of user data for model improvement, personalization, or aggregated learning.</t>
  </si>
  <si>
    <t>Describe whether input data is used for personalization, training, or continuous learning. Indicate whether, if data is anonymized, institutions are notified or can opt out, and describe how use aligns with FERPA, GDPR, and state laws.</t>
  </si>
  <si>
    <t>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t>
  </si>
  <si>
    <t>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t>
  </si>
  <si>
    <t>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t>
  </si>
  <si>
    <t>Please answer based on whether your AI features generate audit logs that record user identity, timestamp, and actions taken. Include log retention, immutability, access for administrators or auditors, and how logs support compliance and incident response.</t>
  </si>
  <si>
    <t>Describe what audit logs capture, how long they are retained, whether they are immutable, and how they support audits and oversight.</t>
  </si>
  <si>
    <t>If audit logging is not available, explain why and describe alternate controls or planned timelines to support monitoring, incident response, and compliance.</t>
  </si>
  <si>
    <t>This question helps institutions confirm whether AI features can be audited for user activity, data use, and system behavior. Audit logging supports regulatory compliance, incident response, and transparency in environments handling sensitive or regulated data.</t>
  </si>
  <si>
    <t>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t>
  </si>
  <si>
    <t>Please describe how your solution validates user inputs, including detection of anomalies, malicious inputs, and sensitive data. Indicate where validation occurs and how it supports security and compliance.</t>
  </si>
  <si>
    <t>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t>
  </si>
  <si>
    <t>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t>
  </si>
  <si>
    <t>Describe your use of SAST, SBOM, and monitoring of third-party AI components, and how you address vulnerabilities in line with NIST and state requirements</t>
  </si>
  <si>
    <t>If supply chain risk planning is not in place, explain why and note any compensating controls or future plans.</t>
  </si>
  <si>
    <t>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t>
  </si>
  <si>
    <t>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t>
  </si>
  <si>
    <t>Please answer based on whether training data is kept separate from production data to protect institutional information. Include how organizational data is segregated, anonymized, or excluded from training, and state whether institutions can opt out of data use for model improvement.</t>
  </si>
  <si>
    <t>Describe how training data is separated from production data, including anonymization, segregation controls, or exclusions. Indicate whether institutions can opt out of data being used in training.</t>
  </si>
  <si>
    <t>If data separation is not in place, explain why and describe compensating controls to protect institutional data from being used in training. Include whether opt-out options are available or planned.</t>
  </si>
  <si>
    <t>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t>
  </si>
  <si>
    <t>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t>
  </si>
  <si>
    <t>Describe the process used to authenticate and verify ML model feedback. Include how you detect and mitigate attempts to introduce model skewing, poisoning, or date/phrase attacks.</t>
  </si>
  <si>
    <t>Explain why the ML model's feedback is not currently authenticated or verified.</t>
  </si>
  <si>
    <t>Verifying ML model feedback helps prevent skewing attacks that could distort predictions or reduce reliability.</t>
  </si>
  <si>
    <t>Understand whether any other controls or processes are in place that would mitigate the risk of the vendor not doing the authentication or verification. How does the vendor perform trigger-sweep evaluations?</t>
  </si>
  <si>
    <t>Explain why the data is not vetted, validated, or verified. Include any future plans to implement this process, and describe any current controls that serve as substitutes for formal vetting and validation.</t>
  </si>
  <si>
    <t>This process can reduce the risk of errors or bias, as well as poor data quality undermining the model's accuracy and integrity.</t>
  </si>
  <si>
    <t>What other controls are in place as a substitute to this process? If not all steps are complete, what part of the process is currently being done?</t>
  </si>
  <si>
    <t>Describe the current process for how training data is monitored for any anomalies and audited to detect any data tampering.</t>
  </si>
  <si>
    <t>Explain why training data is not currently monitored or audited, and describe any alternative safeguards in place or future plans to implement monitoring and auditing.</t>
  </si>
  <si>
    <t>Training data can be targeted by attackers to influence the ML model’s behavior in harmful ways.</t>
  </si>
  <si>
    <t>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t>
  </si>
  <si>
    <t>Include what roles at your organization have the ability to view or modify ML training data.</t>
  </si>
  <si>
    <t>Explain why access to training data is not restricted to staff with an explicit business need. Include any existing policies or controls that currently govern data access.</t>
  </si>
  <si>
    <t>Describe the defensive strategies in place to protect ML features and how they are tested for effectiveness.</t>
  </si>
  <si>
    <t>Explain why training or other defensive mechanisms have not been implemented. Include controls or other policies in place that would substitute.</t>
  </si>
  <si>
    <t>Adversarial training and defenses help keep models resilient against manipulation and evasion attacks.</t>
  </si>
  <si>
    <t>What adversarial training is performed on the ML? What defense mechanisms are incorporated into the ML? How is the input validated for the ML?</t>
  </si>
  <si>
    <t>Describe how the model is made transparent through documentation and logging of inputs and outputs. Provide explanations for predictions.</t>
  </si>
  <si>
    <t>Explain why the model is not documented, does not log inputs/outputs, or lacks explainability features, and describe any compensating controls or future plans to increase transparency.</t>
  </si>
  <si>
    <t>This process helps ensure accountability and detect misuse or anomalies.</t>
  </si>
  <si>
    <t>How long are input/output logs retained, and how is log data protected? How often are transparency and logging processes reviewed or updated? Do logs enable post-hoc trigger correlation?</t>
  </si>
  <si>
    <t>Describe the watermarking process for training data and how it helps track, trace, or protect against compromise. Include dataset fingerprinting, provenance attestations, tools, or techniques used.</t>
  </si>
  <si>
    <t>Explain why training data is not watermarked and any compensating controls or future plans.</t>
  </si>
  <si>
    <t>Watermarking training data supports traceability, making it easier to detect misuse and respond to incidents.</t>
  </si>
  <si>
    <t>Are all training datasets watermarked, or only specific subsets? Are there any policies, procedures, or controls in place that would serve as substitutes or compensating measures for this practice?</t>
  </si>
  <si>
    <t>Describe how privilege control is implemented for the LLM and how trust boundaries are established between LLM, external sources, and extensible functionality (plugins or downstream functions). Include how you leverage "human in the loop" principals.</t>
  </si>
  <si>
    <t>This question addresses misuse, exfiltration/change risk, and over-privileged behavior. It supports accountable operations and auditability.</t>
  </si>
  <si>
    <t>Is the LLM's API token unique? How do you segregate external content from user prompts? Do you manually monitor LLM input and output periodically?</t>
  </si>
  <si>
    <t>Describe your processes for sourcing, licensing, validating, and refreshing training data. Include how sensitive data is handled and how quality checks are performed.</t>
  </si>
  <si>
    <t>State whether there are any governance measures, alternative practices, or no controls in place. Summarize how training data is currently managed.</t>
  </si>
  <si>
    <t>Assures lawful, ethical, and auditable data use while reducing IP and privacy risk. This is key to trustworthy AI and effective audits.</t>
  </si>
  <si>
    <t>Request a dataset register with provenance records, license documentation, and change-control history. Request sample outputs of PII scrubbing/anonymization processes, results of bias/safety evaluations, and records of dataset refresh or retirement events.</t>
  </si>
  <si>
    <t>Describe how human approval or oversight is applied before sensitive or high-impact LLM actions are executed. Include where approvals occur and what roles are involved.</t>
  </si>
  <si>
    <t>Explain whether alternative safeguards exist, whether plans are in place, or if no oversight is applied. Clarify the degree of autonomy currently allowed.</t>
  </si>
  <si>
    <t>Prevents autonomous risky actions or misconfigurations and enforces accountability. This limits excessive agency.</t>
  </si>
  <si>
    <t>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t>
  </si>
  <si>
    <t>Describe how plugins or external tools are restricted. Include whether limits, validation, or monitoring are applied.</t>
  </si>
  <si>
    <t>Indicate whether compensating controls, planned restrictions, or no limitations are in place. Summarize how plugin or tool use is currently handled.</t>
  </si>
  <si>
    <t>Reduces supply-chain and prompt-injection risk, controls attack surface, and clarifies accountability. Aligns with governance expectations.</t>
  </si>
  <si>
    <t>Request a list of all plugins/tools callable by the LLM and the allow-listing criteria/review cadence. Ask for the validation approach, sandbox/egress rules, and test evidence.</t>
  </si>
  <si>
    <t>Describe how resource usage such as tokens, CPU, memory, or API calls is managed. Include whether quotas, monitoring, or escalation paths are defined.</t>
  </si>
  <si>
    <t>Explain whether any alternative practices, future plans, or no limits are in place. Summarize how resource consumption is currently handled.</t>
  </si>
  <si>
    <t>Prevents denial-of-service and cost overruns from excessive or malicious consumption. Demonstrates managed, measurable operations.</t>
  </si>
  <si>
    <t>Request current default versus maximum token/CPU/memory quotas per tenant, monitoring dashboards of usage, and alerts or incidents where throttling was triggered. Ask about runbooks for resource spikes, evidence of recent resource reviews, and escalation paths.</t>
  </si>
  <si>
    <t>Describe how you improve factual reliability. Include whether methods such as retrieval augmentation, fact checking, or human review are applied</t>
  </si>
  <si>
    <t>Indicate whether compensating measures, future plans, or no safeguards exist. Summarize how accuracy is currently managed.</t>
  </si>
  <si>
    <t>Mitigates hallucinations and ensures decisions rely on verifiable information. Supports trustworthy outcomes and reduces downstream misuse.</t>
  </si>
  <si>
    <t>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t>
  </si>
  <si>
    <t>To ensure transparency and verify the vendor provides accessible privacy documentation that institutions can review and share with stakeholders.</t>
  </si>
  <si>
    <t>Please provide the direct URL to your privacy policy and confirm how frequently it is reviewed and updated.</t>
  </si>
  <si>
    <t>To gather voluntary disclosures that provide additional context beyond required responses, helping assessors understand the vendor's privacy culture and proactive commitment to data protection.</t>
  </si>
  <si>
    <t>To identify potential re-identification risks and ensure the vendor doesn't merge institutional data with external datasets in ways that could compromise privacy protections or violate data use restrictions.</t>
  </si>
  <si>
    <t>If yes, describe what types of external data sources are combined with institutional data and for what purposes.</t>
  </si>
  <si>
    <t>To assess cross-border data transfer risks and ensure compliance with international privacy regulations including GDPR, data localization requirements, and data sovereignty considerations.</t>
  </si>
  <si>
    <t>If yes, identify which countries data flows to/from and what safeguards are in place (e.g., Standard Contractual Clauses, adequacy decisions).</t>
  </si>
  <si>
    <t>To protect institutional and individual privacy rights by ensuring data is only disclosed to law enforcement through proper legal channels with appropriate due process protections.</t>
  </si>
  <si>
    <t>If yes, under what circumstances and with what documentation/notification to the institution?</t>
  </si>
  <si>
    <t>To verify the vendor has systematically evaluated privacy risks and implemented appropriate safeguards before deploying their solution, demonstrating privacy-by-design principles.</t>
  </si>
  <si>
    <t>Please provide a copy of the DPIA or summary of findings and mitigation measures.</t>
  </si>
  <si>
    <t>To ensure transparency with end users about data practices and compliance with privacy notice requirements under FERPA, GDPR, CCPA, and other applicable regulations.</t>
  </si>
  <si>
    <t>To verify meaningful consent mechanisms exist and users have adequate control over their personal information in accordance with fair information practice principles and regulatory requirements.</t>
  </si>
  <si>
    <t>Describe your consent mechanism and how users can withdraw consent if they choose.</t>
  </si>
  <si>
    <t>To ensure the vendor maintains data inventory records necessary for privacy compliance, breach response, data subject rights requests, and understanding the full scope of data collection.</t>
  </si>
  <si>
    <t>Please provide your data inventory or map showing categories of personal data collected and retention periods.</t>
  </si>
  <si>
    <t>To limit unauthorized third-party data sharing and ensure transparency about data flows beyond the direct vendor relationship, protecting against unexpected secondary uses.</t>
  </si>
  <si>
    <t>Provide a list of third parties who receive personal information and the purpose for each disclosure.</t>
  </si>
  <si>
    <t>To verify appropriate security controls are in place to protect personal data from breaches, unauthorized disclosure, and both external and internal threats.</t>
  </si>
  <si>
    <t>Describe your access control mechanisms, encryption methods, and incident response procedures.</t>
  </si>
  <si>
    <t>To ensure data quality practices that prevent privacy harms from inaccurate or outdated personal information, particularly in contexts where data accuracy affects individual rights or opportunities.</t>
  </si>
  <si>
    <t>What processes do you have for individuals to review and correct their personal information?</t>
  </si>
  <si>
    <t>To verify accountability mechanisms exist for addressing privacy concerns, providing recourse to affected individuals, and demonstrating responsiveness to privacy complaints.</t>
  </si>
  <si>
    <t>Describe your complaint handling process, typical response times, and escalation procedures.</t>
  </si>
  <si>
    <t>To understand the vendor's approach to privacy-enhancing techniques and assess whether data masking methods are appropriate, effective, and aligned with recognized anonymization standards.</t>
  </si>
  <si>
    <t>Describe your anonymization methodology and any validation or testing performed to ensure re-identification risks are minimized.</t>
  </si>
  <si>
    <t>To prevent secondary use of institutional data that could undermine privacy protections, contradict institutional data governance policies, or enable commercial uses incompatible with educational purposes.</t>
  </si>
  <si>
    <t>If yes, provide details on secondary uses and obtain specific written consent from the institution for these uses.</t>
  </si>
  <si>
    <t>To identify AI-related privacy risks including potential bias, unintended disclosures, lack of explainability in automated decision-making, and training data provenance concerns.</t>
  </si>
  <si>
    <t>To ensure user autonomy regarding AI processing of their data and compliance with emerging AI transparency requirements and ethical principles around algorithmic decision-making.</t>
  </si>
  <si>
    <t>Describe the opt-out mechanism and any limitations or service impacts if a user opts out of AI processing.</t>
  </si>
  <si>
    <t>N/A is only an acceptable answer if AI is the core function of your product.</t>
  </si>
  <si>
    <t>N/A is only an acceptable answer if you answered "no" to ALL of the following 7 questions: PRGN-01, 02, 03, 04 and PDAT-01, 02, 03</t>
  </si>
  <si>
    <t>N/A is only an acceptable answer if you answered "no" to ALL of the following 7 questions: PRGN-01, 02, 03, 04 and PDAT-01, 02, 04</t>
  </si>
  <si>
    <t>N/A is only an acceptable answer if you answered "no" to ALL of the following 7 questions: PRGN-01, 02, 03, 04 and PDAT-01, 02, 05</t>
  </si>
  <si>
    <t>N/A is only an acceptable answer if you answered "no" to ALL of the following 7 questions: PRGN-01, 02, 03, 04 and PDAT-01, 02, 06</t>
  </si>
  <si>
    <t>N/A is only an acceptable answer if you answered "no" to ALL of the following 7 questions: PRGN-01, 02, 03, 04 and PDAT-01, 02, 07</t>
  </si>
  <si>
    <t>N/A is only an acceptable answer if you answered "no" to ALL of the following 7 questions: PRGN-01, 02, 03, 04 and PDAT-01, 02, 08</t>
  </si>
  <si>
    <t>N/A is only an acceptable answer if you answered "no" to ALL of the following 7 questions: PRGN-01, 02, 03, 04 and PDAT-01, 02, 09</t>
  </si>
  <si>
    <t>N/A is only an acceptable answer if you answered "no" to ALL of the following 7 questions: PRGN-01, 02, 03, 04 and PDAT-01, 02, 10</t>
  </si>
  <si>
    <t>N/A is only an acceptable answer if you answered "no" to ALL of the following 7 questions: PRGN-01, 02, 03, 04 and PDAT-01, 02, 11</t>
  </si>
  <si>
    <t>N/A is only an acceptable answer if you answered "no" to ALL of the following 7 questions: PRGN-01, 02, 03, 04 and PDAT-01, 02, 12</t>
  </si>
  <si>
    <t>N/A is only an acceptable answer if you answered "no" to ALL of the following 7 questions: PRGN-01, 02, 03, 04 and PDAT-01, 02, 13</t>
  </si>
  <si>
    <t>N/A is only an acceptable answer if you answered "no" to ALL of the following 7 questions: PRGN-01, 02, 03, 04 and PDAT-01, 02, 14</t>
  </si>
  <si>
    <t>SCORE LOCATIONS</t>
  </si>
  <si>
    <t>START HERE</t>
  </si>
  <si>
    <t>Jump to</t>
  </si>
  <si>
    <t>Based on the response to AAAI-01, this question does not apply to this product or service. Please select N/A.</t>
  </si>
  <si>
    <t>Version 4.1.5</t>
  </si>
  <si>
    <t>Do you have a process and implemented procedures for managing your software supply chain (e.g., libraries, repositories, frameworks, etc.)?</t>
  </si>
  <si>
    <t>Do you have an implemented system configuration management process (e.g., secure "gold" images, etc.)?*</t>
  </si>
  <si>
    <t>Do you perform privacy impact assessments of third parties that collect, process, or have access to personal data to ensure they meet industry and regulatory standards and to mitigate harmful, unethical, or discriminatory impacts on data subjects?</t>
  </si>
  <si>
    <t>Have you performed a Data Privacy Impact Assessment for the solution/project?</t>
  </si>
  <si>
    <t>Testing a business continuity plan is an important action that improves the efficiency and accuracy of a solution provider's continuity plans. Vague responses to this question should be met with concern and appropriate follow-up, based on your institutions risk tolerance.</t>
  </si>
  <si>
    <t>Testing a disaster recovery plan is an important action that improves the efficiency and accuracy of a solution provider's recovery plans. Vague responses to this question should be met with concern and appropriate follow-up, based on your institutions risk tolerance.</t>
  </si>
  <si>
    <t>The sharing of institutional data to fourth-parties may increase the risk to the institution and thus, we want to know who gets what data, when they get that data, and why they get that data.</t>
  </si>
  <si>
    <t>Knowing the protections and legal agreements in place for third-party data sharing may assist analysts in determining residual risk.</t>
  </si>
  <si>
    <t>Describe how the application is distributed. Also, state any plans to publish the app to a trusted source.</t>
  </si>
  <si>
    <t>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t>
  </si>
  <si>
    <t>Answer "yes" if your solution has internal limits to password complexity (max length, certain special characters unsupported, etc.).</t>
  </si>
  <si>
    <t>Summarize your implemented system configuration management process.</t>
  </si>
  <si>
    <t>Please describe any plans to implement third-party library dependency tracking.</t>
  </si>
  <si>
    <t>Please describe your program to track these dependencies.</t>
  </si>
  <si>
    <t>Provide reference the  process/procedure to manage releases.</t>
  </si>
  <si>
    <t>Describe plans to minimize the impact of downtime based on predefined off-peak hours.</t>
  </si>
  <si>
    <t>Describe your overall strategy to accomplish these elements.</t>
  </si>
  <si>
    <t>When data is moved physically (e.g., print, etc.) off-site, the policies and implemented procedures are important to know. Unencrypted data taken outside secured areas introduces unnecessary risks.</t>
  </si>
  <si>
    <t>Provide reference to your data ownership documentation.</t>
  </si>
  <si>
    <t>Provide a detailed description of the implemented strategy (i.e., batteries, generator).</t>
  </si>
  <si>
    <t>Summarize why you will not comply with applicable breach notification laws.</t>
  </si>
  <si>
    <t>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t>
  </si>
  <si>
    <t>Protecting privileged accounts is crucial to maintaining system integrity in any environment. This question is targeting privilege creep and unmanaged privileged accounts to determine if the solution provider properly manages access control in their application/system environments.</t>
  </si>
  <si>
    <t>State plans to implement coverage in the future or how you can provide breach/liability coverage to the institution without it.</t>
  </si>
  <si>
    <t>Describe your external application vulnerability scanning strategy.</t>
  </si>
  <si>
    <t>Having a previous data breach can indicate a level of risk that will indicate that the institution should further investigate changes made after the breach.</t>
  </si>
  <si>
    <t>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t>
  </si>
  <si>
    <t>It is important to have a procedure in place to mitigate privacy risks as they come up.</t>
  </si>
  <si>
    <t>Do any parts of your institutional policy conflict with the solution provider's standard practices?</t>
  </si>
  <si>
    <t>The institution should know which laws apply to the data to which the solution provider will have access. You should also have a thorough understanding of how requests from law enforcement will be handled.</t>
  </si>
  <si>
    <t>Companies may collect information for purposes not outlined in the service agreement, including quality assurance, marketing, etc. Institutions should have a thorough understanding of what data is being used and how.</t>
  </si>
  <si>
    <t>Such processes would include descriptions of request processes individuals can follow to review their information and written processes a data subject may use to ask for changes or corrections to data held about them.</t>
  </si>
  <si>
    <t>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t>
  </si>
  <si>
    <t>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t>
  </si>
  <si>
    <t>If your organization has exchange programs or does business with global organizations or organizations located outside the United States, depending on the services sought, your institution should determine whether this is a requirement.</t>
  </si>
  <si>
    <t>Provide the following details about your responsible AI training program: learning objectives, frequency, alignment with standards (e.g., NIST), and who is required to complete the training.</t>
  </si>
  <si>
    <t>Describe capabilities such as content (text, image, audio, speech, video, or code) generation, visual interpretation, and predictive analytics. This encompasses all AI implementations, including third-party AI features. Clarify use cases or limits of the model.</t>
  </si>
  <si>
    <t>Provide compensating controls for data loss prevention (DLP) as it relates to the inputs and outputs of your AI features. Include a timeline for implementing DLP for your AI features.</t>
  </si>
  <si>
    <t>Provide data loss prevention (DLP) features as they relate to your AI offerings. Indicate whether these DLP rules are configurable at the institutional and/or user level.</t>
  </si>
  <si>
    <t>To determine the risk of sensitive data exposure from AI feature inputs and outputs.</t>
  </si>
  <si>
    <t>Provide a timeline for institutions to have the capability to disable AI features in the event of an incident.</t>
  </si>
  <si>
    <t>Provide a timeline for institutions to have the capability to enable AI features in the event of an incident recovery.</t>
  </si>
  <si>
    <t>Describe how the training data is vetted, validated and verified before the AI model is trained. Include the process along with the AI/ML data policy. Describe your validation of data labelers to validate the accuracy of the data labeling.</t>
  </si>
  <si>
    <t>Describe other compensating controls for mitigating prompt-injection risk.</t>
  </si>
  <si>
    <t>Cursive Technology Inc</t>
  </si>
  <si>
    <t>Joseph Thibault</t>
  </si>
  <si>
    <t>CEO</t>
  </si>
  <si>
    <t>joe@cursivetechnology.com</t>
  </si>
  <si>
    <t>410-231-3323</t>
  </si>
  <si>
    <t>USA</t>
  </si>
  <si>
    <t>Baltimore MD</t>
  </si>
  <si>
    <t>TypeID</t>
  </si>
  <si>
    <t>Continuous authorship verification and writing analytics using typing biometrics. Native Moodle plugin, browser extension for any LMS, WordPress-based authorship report and verification system.</t>
  </si>
  <si>
    <t xml:space="preserve">We are a Maryland based corporation with a convertible note from Conscoius Venture Fund II. Our team is one full time employee, one unpaid CEO/Founder, one part time growth role, and three outsourced development partners (Brain-Station 23, AWS Contractor, Tech Worm LLC) </t>
  </si>
  <si>
    <t>Joseph Thibault serves as named Information Security Officer; AWS engineering contractor (India) supports security implementation under direct supervision.</t>
  </si>
  <si>
    <t xml:space="preserve">As a small team we are cross-functional but have dedicated roles and responsibilities within the company working with respective teams including outsourcing partners. All deployment of systems for the purpose of serving clients is completed at the direction of our team. </t>
  </si>
  <si>
    <t xml:space="preserve">We build security and privacy into our product by design. Our secure environment is wholly hosted in AWS using best practice software and cloud architecture. We do not collect personal identifiable information such as email, name, address, etc. Any data collected for processing is stored locally, if applicable, shared with us a transient data which is deleted after processing, we retain only processed authorship payload, not raw logs. Data is de-identified by default. </t>
  </si>
  <si>
    <t xml:space="preserve">We provide interface directly in the LMS, or via the chrome extension. </t>
  </si>
  <si>
    <t>We leverage two proprietary machine learning models, keyread and copy-behavior.</t>
  </si>
  <si>
    <t xml:space="preserve">Institutionally collected data is relayed to our API for processing, this is the minimum data required for Cursive to perform it's contractual service: verification of authorship, and transparency in text creation. </t>
  </si>
  <si>
    <t>We align with NIST 800-53 controls in our policy framework but have not pursued certification.</t>
  </si>
  <si>
    <t>Not yet pursued. AWS infrastructure (which underlies Cursive's environment) is SOC 2 Type 2 certified. Cursive has hired a dedicated AWS EKS engineer building infrastructure-from-scratch with the explicit goal of achieving AWS security certification followed by SOC 1/SOC 2 attestation.</t>
  </si>
  <si>
    <t>https://cursivetechnology.com/privacy-policy/</t>
  </si>
  <si>
    <t>Available at https://cursive-shared.s3.us-east-1.amazonaws.com/Cursive+Information+System+%26+Baseline+Configuration.pdf — under refresh as part of EKS migration</t>
  </si>
  <si>
    <t>Cursive Technology Policies, Procedures, &amp; Information Security Policy</t>
  </si>
  <si>
    <t xml:space="preserve">Cursive Technology Policies, Procedures, &amp; Information Security Policy </t>
  </si>
  <si>
    <t>Two production ML models: Keyread (typing-biometric authorship classifier) and Copy-behavior (originality / typed-vs-pasted content classifier).</t>
  </si>
  <si>
    <t>No EU/UK customers at this time. GDPR posture and EU representative will be established prior to first EU/UK customer engagement.</t>
  </si>
  <si>
    <t>This is inherited by institutional privacy policies upstream from Cursive and through our onboarding and installation processes of the browser extension.</t>
  </si>
  <si>
    <t>Data inventory: writing canvas activity (including pastes), final submitted text, keystroke timing/process telemetry, and an opaque LMS-issued user identifier (UUID). No name, email, grade, IP-as-identifier, or any other PII collected by Cursive.</t>
  </si>
  <si>
    <t xml:space="preserve">We process FERPA regulated data (student submissions) securely, all team members are trained on FERPA requirements. </t>
  </si>
  <si>
    <t>Typing biometric data, student submissions.</t>
  </si>
  <si>
    <t>student submissions.</t>
  </si>
  <si>
    <t>VPAT is being refreshed following May 2026 accessibility review; current VPAT linked from cursivetechnology.com/accessibility</t>
  </si>
  <si>
    <t>https://www.cursivetechnology.com/accessibility</t>
  </si>
  <si>
    <t>Team has general accessibility awareness; specialist input is engaged via qualified third-party experts on a periodic basis</t>
  </si>
  <si>
    <t>Accessibility considered during ticket creation, design review, and QA per Cursive SDLC</t>
  </si>
  <si>
    <t>POAM updated May 2026 with remediation tickets in Linear; available on request</t>
  </si>
  <si>
    <t>Verified on Windows 11 via web interface to the browser extension and Moodle LMS plugin as recently as 5/1/2026</t>
  </si>
  <si>
    <t>WCAG 2.0 Level A (current VPAT). Roadmap target: WCAG 2.1 Level AA following completion of remediation tickets created in May 2026.</t>
  </si>
  <si>
    <t>Engagement of qualified third-party accessibility experts; findings tracked in POAM and Linear tickets for remediation. Process formalized following 2023 audit.</t>
  </si>
  <si>
    <t>Most recent third-party human accessibility audit conducted by Jordan Connor (Baltimore, MD) in 2023, which produced the current VPAT. An internal AI-assisted accessibility re-review was performed in May 2026 to validate that previously identified items remain on the Plan of Action and Milestones (POAM); a third-party human re-audit is being scheduled.</t>
  </si>
  <si>
    <t>Cursive will commit contractually to its currently stated standard (WCAG 2.0 A) and to the documented roadmap toward WCAG 2.1 AA. Full contractual commitment to WCAG 2.1 AA is targeted following completion of the remediation work scoped in May 2026.</t>
  </si>
  <si>
    <t>Substantial conformance to WCAG 2.0 Level A per the current VPAT. WCAG 2.1 AA conformance is the documented roadmap target; gap items are tracked in the POAM and prioritized in Linear.</t>
  </si>
  <si>
    <t>Issues are logged through customer support channels and via instructor/end-user feedback. Logged issues become part of the POAM, are tracked as Linear tickets, and are prioritized in the product roadmap.</t>
  </si>
  <si>
    <t>Documentation of accessibility features is maintained in the VPAT and the Cursive Technology Policies and Procedures.</t>
  </si>
  <si>
    <t>Cursive maintains a documented privacy management process within its Information Security Policies and Procedures and the public-facing Privacy Policy at https://cursivetechnology.com/privacy-policy/. The process covers data minimization (only writing canvas activity, pastes, final text, keystroke timing, and an opaque LMS-issued UUID are collected; no name, email, or grade data), default de-identification, local-first storage (data resides on the client LMS or in browser local storage), transient server-side processing (raw keystroke data deleted after processing; only the processed authorship payload retained), subject access and deletion workflows (Moodle data request flow for institutions; uninstall/delete-history for browser extension users), and contractual governance of any data use beyond the agreed service. Privacy controls are reviewed annually per the Cursive Compliance Policy and Procedure Review Calendar. The Founder/CEO serves as the named privacy point of contact.</t>
  </si>
  <si>
    <t>Privacy-by-design is foundational to TypeID. Architectural decisions reflect this: institutional data is stored locally on the client LMS or in browser local storage rather than in Cursive systems; server-side processing is transient (raw keystroke data deleted after authorship-payload generation); collection is minimized to the elements directly required for authorship verification (no name, email, or grade data); data is de-identified by default; and contractual opt-out is the default state for any model-training use of customer data. Privacy review is part of the SDLC change-management process per Cursive Policies and Procedures.</t>
  </si>
  <si>
    <t>Cursive will comply with applicable breach notification laws including state breach notification statutes (e.g., MD PIPA), FERPA breach notification expectations for institutional customers, and GDPR Article 33/34 obligations as applicable. The Incident Response Plan in Cursive Policies and Procedures specifies notification within 24 hours of confirmed breach to affected institutional customers, with downstream end-user notification coordinated with the institution.</t>
  </si>
  <si>
    <t>Cursive will comply with the institution's documented privacy and data protection policies as agreed in the master services agreement / DPA. Institution-specific privacy requirements can be incorporated through contract addenda.</t>
  </si>
  <si>
    <t>Cursive is incorporated in Maryland, USA, and is subject to applicable US federal and state law (including FERPA when contracted as a school official, COPPA where applicable, and state privacy laws). For institutional customers in other jurisdictions, Cursive will additionally comply with applicable local laws and regulations through contractual commitment.</t>
  </si>
  <si>
    <t>All Cursive employees complete the US Department of Education's "FERPA 201: Data Sharing under FERPA" training during onboarding. Annual privacy and security awareness training is delivered through KnowBe4, which provides audit logs of completion. Privacy posture is also reinforced through review of the Cursive Employee Handbook and Information Security Policies during orientation and annually thereafter.</t>
  </si>
  <si>
    <t>Privacy awareness training (FERPA 201 + KnowBe4 modules) is mandatory for all employees and contractors with access to institutional data or systems. Completion is audited annually per the Cursive Compliance Policy and Procedure Review Calendar.</t>
  </si>
  <si>
    <t xml:space="preserve">AI privacy and ethics considerations are incorporated into employee training for staff working with the Keyread and Copy-behavior models. Topics include data minimization, transparency in Cursive deployment, "verified" vs "verifying" output framing, and the requirement that authorship determinations always involve a human (instructor) in the loop. AI-specific training and policies are implemented to safe guard our own documentation and code with specific "opt-out" configurations where applicable. </t>
  </si>
  <si>
    <t xml:space="preserve">All authorship determinations are surfaced to a human (the instructor) for review and action. The model produces a binary "Verified" or "Verifying" output; no automated grading, disciplinary action, account flagging, or other consequence is applied to the end user without instructor or institutional review. </t>
  </si>
  <si>
    <t>While processing is automated for ease of use, Cursive does not employ fully automated decision-making processes that act on end users without human review (see above). Where automation supports the workflow (e.g., model inference producing the Verified/Verifying label), the output is surfaced to the instructor for review and action rather than driving an automated outcome. Data subject requests are handled through the institution's standard Moodle data request workflow and through the browser extension's user-controlled deletion features.</t>
  </si>
  <si>
    <t>Cursive does not yet maintain a standalone documented policy for sharing information with law enforcement. In practice, any law-enforcement request would be reviewed by the Founder/CEO with legal counsel, and Cursive's default position is to require a valid legal process (warrant, subpoena, or court order) before disclosing institutional data, with notification to the affected institutional customer where legally permitted. Formalizing this position into a standalone policy is on the privacy roadmap.</t>
  </si>
  <si>
    <t>Cursive does not share institutional data with law enforcement absent a valid warrant, subpoena, or other legally compelled process. Where legally permitted, Cursive will notify the affected institutional customer of any compelled disclosure.</t>
  </si>
  <si>
    <t xml:space="preserve">The Cursive incident response team currently consists of the Founder/CEO (who also serves as named Information Security Officer and privacy point of contact). A dedicated standalone privacy analyst/officer role is not maintained given current company size. As we scale/grow, we'll consider dedicated roles to each domain as necessary. </t>
  </si>
  <si>
    <t xml:space="preserve">Clients may be located in China. Cursive does not maintain servers or data processing in mainland China or it's territories. </t>
  </si>
  <si>
    <t>Cursive serves an institutional customer in Shanghai (Shanghai International Studies University). Data residency: institutional data continues to be hosted in AWS US-East-1 (N. Virginia); Cursive's architecture stores institutional data locally on the client's Moodle LMS or in the writer's browser local storage by default, with transient server-side processing on Cursive's API and retention only of the processed authorship payload. Collection is minimized to an opaque LMS-issued UUID and writing process telemetry; no name, email, or other directly identifying personal information is collected by Cursive. Cross-border data transfer to the United States and Cursive's role as overseas processor are addressed in the contractual agreement with the institution. Cursive acknowledges that PIPL data localization, cross-border transfer mechanism, and consent requirements may apply, and continues to evaluate compliance posture in coordination with the institutional customer. Cursive has not yet completed a formal PIPL compliance assessment or designated a PRC representative.</t>
  </si>
  <si>
    <t>Cursive has not yet conducted a formal Data Privacy Impact Assessment (DPIA) for TypeID. Privacy considerations are embedded in the product's architecture by design — data minimization (only an opaque LMS-issued UUID, writing canvas activity, pastes, final text, and keystroke timing collected; no name, email, or grade data), default de-identification, local-first storage on the client LMS or browser, transient server-side processing with deletion of raw keystroke data after authorship-payload generation, and contractual default-opt-out for any model-training use of customer data. Formalizing these design decisions into a documented DPIA is on the privacy roadmap and will be prioritized in advance of expanded EU/UK engagement and to support the existing Shanghai International Studies University engagement under PIPL (see INTL-05).</t>
  </si>
  <si>
    <t>Choices regarding collection, use, and disclosure are described in the Privacy Policy at https://cursivetechnology.com/privacy-policy/. Implicit consent is established through institutional adoption of TypeID within the LMS environment, with the institution acting as the entity that obtains informed consent from end users (students) under FERPA's school-official framework or equivalent local law. For browser extension installs initiated directly by an end user, consent is explicit at the point of installation. Cursive's privacy notice describes the limited data elements collected (writing canvas activity, pastes, final text, keystroke timing, opaque LMS-issued UUID) and the absence of name, email, and grade data.</t>
  </si>
  <si>
    <t>Personal data is collected solely for the purposes identified in the institutional master agreement and the Privacy Policy: continuous authorship verification, originality classification, and instructor-facing reporting. Cursive does not collect personal data for marketing, advertising, profiling unrelated to the service, or resale.</t>
  </si>
  <si>
    <t>Raw keystroke data submitted via API is deleted after authorship-payload generation; only the processed payload is retained. Browser extension local data is retained until user-initiated deletion (uninstall or "delete history"). Moodle-stored data follows the institution's Moodle data retention policy. Backups follow production retention windows with no extended retention beyond operational need.</t>
  </si>
  <si>
    <t>Cursive does not disclose personal data to third parties for purposes beyond service delivery. Subprocessors with access to systems (see Subprocessor Inventory) are bound by contract to use data only for the agreed service purposes. No data is sold, rented, or shared with advertising networks, data brokers, or analytics providers unrelated to the service.</t>
  </si>
  <si>
    <t>Personal information is protected through CNSA-grade encryption at rest (AWS KMS, AES-256), TLS 1.2 minimum in transit, AWS IAM least-privilege access controls, MFA on all administrative interfaces, AWS Network Firewall and Security Groups for network-layer protection, and AWS-managed physical security inherited from the underlying infrastructure provider.</t>
  </si>
  <si>
    <t>Authorship telemetry is captured directly from the user's writing session and reflects their actual typing behavior; identifiers are inherited from the institutional LMS (which is the authoritative source for user identity) and updated automatically as the LMS state changes. End users and institutional administrators can request correction through the data subject request workflow described in DRPV-07.</t>
  </si>
  <si>
    <t>End users can review and update their personal information through their institutional LMS account (which holds their identifying information). Within Cursive's systems, individuals can request access, correction, or deletion of their authorship data through the institution's standard data subject request workflow (Moodle data request flow). Browser extension users can hard-delete locally stored data via the extension UI ("uninstall" or "delete history"). Cursive responds to institutional data subject requests within the timelines specified in the master agreement.</t>
  </si>
  <si>
    <t>Privacy-related complaints and disputes can be submitted to joe@cursivetechnology.com or through the institutional point of contact. Complaints are logged, investigated by the Founder/CEO (acting as privacy point of contact), and resolved in coordination with the institutional customer where applicable. Complaint handling is part of the Incident Response Plan in the Cursive Policies and Procedures.</t>
  </si>
  <si>
    <t>De-identification is the default state. Cursive's authorship determination operates on telemetry tied only to opaque LMS-issued UUIDs; no directly identifying personal information is required to perform the authorship analysis. The processed authorship payload retained in Cursive's systems contains telemetry features and a UUID — the link from UUID to identifiable individual is held only by the institutional LMS.</t>
  </si>
  <si>
    <t>Stop-processing requests received from institutional customers or end users (via institutional channel) trigger cessation of further processing of the affected data and propagation of the request to relevant subprocessors.</t>
  </si>
  <si>
    <t>Cursive does not use or disclose de-identified or anonymized data for any purpose other than service delivery to the contracting institution. AWS-stored data is purged according to the institution's instruction; subprocessor access is revoked or scoped to exclude the affected data. Confirmation is provided to the requesting party. Process is documented in the Incident Response and Data Removal/Disposal procedures.</t>
  </si>
  <si>
    <t>Code review during the SDLC includes consideration of privacy and security implications via Security Impact Analysis as part of the change-management process. Ethical considerations specific to AI/ML — including bias, fairness, and the human-in-the-loop principle for authorship determinations — are discussed during model and feature design. A formal documented "ethical review" process or AI ethics committee is not maintained at current company size; ethical considerations are embedded in the SDLC and in the design discussions for the Keyread and Copy-behavior models.</t>
  </si>
  <si>
    <t>TypeID uses two production ML models on institutional data: Keyread (typing-biometric authorship classifier) and Copy-behavior (originality / typed-vs-pasted classifier). Both are proprietary models trained by Cursive; no third-party LLM or foundation model is used in production. Models receive writing process telemetry tied to an opaque LMS-issued UUID (no name, email, or grade data) and produce a binary "Verified" / "Verifying" output presented to the instructor.</t>
  </si>
  <si>
    <t>Raw keystroke telemetry submitted to the inference API is processed transiently and deleted after authorship-payload generation. The processed authorship payload (model output and supporting feature data, tied to the LMS UUID) is retained per the documented retention practices in PRIV-08. By default, no institutional data is used to train, fine-tune, or improve the production models — training operates exclusively on Cursive-owned datasets validated against a diverse undergraduate population at the University of Maryland, Mechanical Turk, India-based contractors, friends and family, and volunteers. Any deviation from this default requires written contractual agreement with the institution.</t>
  </si>
  <si>
    <t>Cursive's production AI processing is performed entirely on Cursive-owned proprietary models (Keyread, Copy-behavior). No third-party AI service or LLM API receives institutional data in production. Subprocessor agreements with parties that have any access to Cursive infrastructure (AWS, Brain-Station 23, Tech Worm LLC, AWS engineering contractor) include NDA terms, data-use limitations, and access scoped via AWS IAM least-privilege; AI-specific contractual terms are incorporated where relevant (e.g., Tech Worm LLC engagement explicitly excludes use of institutional client data in model training).</t>
  </si>
  <si>
    <t>Institutional data is not processed through any third-party or subprocessor AI service. All inference is performed on Cursive-owned proprietary models running on Cursive-managed AWS infrastructure. The UAE-based ML engineering subprocessor (Tech Worm LLC) supports model development on Cursive-owned training datasets but does not provide AI services that process institutional data.</t>
  </si>
  <si>
    <t>AI processing is performed on Cursive-owned proprietary models, not on commercial enterprise AI services (e.g., OpenAI, Anthropic, Azure, etc.). The question is not applicable in the affirmative sense — Cursive does not use commercial enterprise AI services for institutional data processing — but Cursive's in-house models are subject to the same access controls, data handling, and contractual protections that would apply to a commercial enterprise AI engagement.</t>
  </si>
  <si>
    <t>Institutional data is not processed by any shared AI service. Each institutional customer's data is logically isolated through tagging by source, user, resource ID, and secure token (consistent with HLDA-01 single-tenant capability). The Cursive-owned models perform inference on a per-request basis with no cross-customer aggregation, and no institutional data is pooled with other customers' data for shared AI processing.</t>
  </si>
  <si>
    <t>Safeguards include: (1) inference endpoints require valid LMS-issued tokens and are rate-limited to prevent abuse; (2) all inference requests are logged with UUID, timestamp, and outcome (per AIML-20); (3) AWS IAM least-privilege controls restrict access to model artifacts and inference logs; (4) institutional data is logically isolated per HLDA-01; (5) model architecture is constrained to specific input feature types (writing process telemetry) — the models cannot accept arbitrary queries the way an LLM endpoint could; (6) outputs are bounded to a binary classification, eliminating risk of unintended generation. The constrained classifier architecture (vs. generative AI) materially limits the surface area for unintended AI queries or processing.</t>
  </si>
  <si>
    <t xml:space="preserve">User-level opt-out is governed by the institutional contract. Cursive's default position is that the institution determines whether end users can opt out of AI-based authorship verification, since opting out would also opt the user out of the service itself (TypeID's authorship verification is fundamentally AI-based). For institutions that elect to provide opt-out, the institution removes the affected user from the TypeID enrollment within the LMS. Cursive does not provide a separate AI-specific opt-out independent of opting out of the service entirely, since AI processing is intrinsic to the service rather than an optional layer. For the AI served locally, this end user agreements and privacy policy are explicit acknowledgements "I accept" during the installation process which loads our ML/AI to a user's computer. </t>
  </si>
  <si>
    <t>Cursive does not collect, process, or store demographic information about end users (students or instructors). No race, ethnicity, gender, age, disability status, national origin, language, or socioeconomic data is collected. The data inventory is limited to writing process telemetry (canvas activity, pastes, final text, keystroke timing), an opaque LMS-issued UUID, and/or user type to manage onboarding — no demographic fields are collected by Cursive.</t>
  </si>
  <si>
    <t>Cursive captures behaviometric (typing-biometric) information as the foundation of the TypeID service. Specifically, keystroke timing data — including dwell time, flight time, and typing rhythm patterns — is collected during the writing session and used by the proprietary Keyread model to perform authorship verification. No genetic data, facial recognition, fingerprint capture, voice biometrics, or other physiological biometrics are collected. Behaviometric data is tied to an opaque LMS-issued UUID (no name, email, or other directly identifying information is associated with the keystroke telemetry by Cursive). Treatment of behaviometric data is described in the Privacy Policy at https://cursivetechnology.com/privacy-policy/, including the local-first storage model, transient server-side processing (raw telemetry deleted after authorship-payload generation), and default opt-out from any model-training use.</t>
  </si>
  <si>
    <t>Cursive does not combine institutional data with personal data from any other source. The Keyread and Copy-behavior models operate exclusively on writing process telemetry generated within the institutional LMS context, tied to the LMS-issued UUID. No external data sources (data brokers, public records, social media, marketing databases, third-party identity providers) are used to enrich, augment, or join with institutional data.</t>
  </si>
  <si>
    <t xml:space="preserve">
Institutional data may transit national borders during the engagement lifecycle in two specific contexts: (1) For international clients telemetry generated by users at the origin transits to AWS US-East-1 (N. Virginia) for processing, and authorship payloads are returned to the institution's Moodle environment; (2) Code deployments by offshore subprocessor engineering teams (Brain-Station 23 in Bangladesh, AWS engineering contractor in India, Tech Worm LLC in UAE) are pushed into the AWS US-East-1 production environment via AWS IAM-controlled access, but these subprocessors do not download or extract institutional production data. Storage and processing remain in AWS US-East-1; subprocessors deploy code into the US, they do not export data out. All data in transit is protected by TLS 1.2+ encryption.</t>
  </si>
  <si>
    <t>Cursive does not collect MAC addresses or persistent device fingerprints. IP addresses may be incidentally captured in standard AWS web server access logs as part of operational logging (consistent with industry-standard infrastructure logging) but are not used as user identifiers, are not associated with the authorship telemetry, and are not retained beyond standard log retention windows. The Keyread and Copy-behavior models do not consume IP addresses or device identifiers as features; identity is established through the opaque LMS-issued UUID or key fingerprint which is a Cursive-created UUID in lieu of LMS-issued UUID.</t>
  </si>
  <si>
    <t>Cursive does not employ web tracking pixels, third-party analytics tracking, marketing pixels, or behavioral advertising cookies. Strictly necessary cookies/session storage may be used for product functionality (e.g., maintaining user session within the browser extension) but no third-party tracking, advertising, or cross-site behavioral profiling is performed. The Privacy Policy describes cookie use.</t>
  </si>
  <si>
    <t>Cursive staff and subprocessors do not have standing access to institutional data. All access to AWS production environments is gated through IAM with least-privilege role scoping. Subprocessors (Brain-Station 23, AWS engineering contractor, Tech Worm LLC) have access to deploy code only and operate in non-production or staging environments by default; production data access is not part of their standing permission set. Cursive does not collect financial data, PHI, or health information. The opaque-UUID-only data inventory means even Cursive personnel with legitimate access cannot directly identify a specific student from the stored telemetry.</t>
  </si>
  <si>
    <t>Cursive will handle personal data in compliance with all applicable laws, regulations, and institutional policies as agreed in the master services agreement and any applicable Data Processing Agreement. This includes FERPA (when contracted as a school official), state breach notification laws, GDPR (for any future EU/UK engagements), PIPL (for the existing SISU engagement and any future PRC engagements; see INTL-05), and any institution-specific privacy policies incorporated into the contract.</t>
  </si>
  <si>
    <t>Privacy review is incorporated into Cursive's change management process via the Security Impact Analysis step in the SDLC. Per the Cursive Policies and Procedures, all material changes to the information system undergo review for security and privacy impact before approval; the Founder/CEO (acting as Information Security Officer and named privacy point of contact) approves changes that touch institutional data handling, retention, AI/ML model behavior, or subprocessor access. Changes affecting privacy posture trigger downstream documentation updates (Privacy Policy, data inventory, POAM) as part of the change-management workflow tracked in Linear and GitHub.</t>
  </si>
  <si>
    <t>Cursive's Plan of Action and Milestones (POAM) governs how identified privacy and security risks are mitigated until full remediation is achieved. Per the Cursive Policies and Procedures, identified issues are categorized by severity (Critical: 7 days; High: 30 days; Medium: 60 days; Low: 90 days), and interim compensating controls are applied during the remediation window where risk warrants. Compensating controls may include access restriction via AWS IAM, contractual notification to affected institutional customers, configuration hardening, or temporary feature disablement. The POAM is reviewed regularly and tracked in Linear; risk acceptance for any unresolved item beyond standard remediation timelines requires explicit Founder/CEO sign-off.</t>
  </si>
  <si>
    <t>Cursive maintains contractual agreements with all subprocessors that have any access to Cursive infrastructure or institutional data flows (AWS, Brain-Station 23 in Bangladesh, AWS engineering contractor in India, Tech Worm LLC in UAE, Google Workspace, GitHub, Linear, Bitwarden, KnowBe4, Checkr, The Hanover). Subprocessor agreements include NDA terms, data-use limitations, confidentiality obligations, and (for offshore engineering subprocessors) explicit terms restricting access to non-production environments and prohibiting use of institutional client data in any model training. Subprocessor selection per the Cursive Vendor Management Policy prioritizes vendors that maintain industry attestations (SOC 2 Type 2, ISO 27001) and clearly published policies supporting enterprise-level security and privacy practices. Compliance is verified at engagement and reviewed annually per the Cursive Compliance Policy and Procedure Review Calendar.</t>
  </si>
  <si>
    <t>Partial - Cursive maintains contractual agreements with all subprocessors that have any access to Cursive infrastructure or institutional data flows (AWS, Brain-Station 23 in Bangladesh, AWS engineering contractor in India, Tech Worm LLC in UAE, Google Workspace, GitHub, Linear, Bitwarden, KnowBe4, Checkr, The Hanover). Subprocessor agreements include NDA terms, data-use limitations, confidentiality obligations, and (for offshore engineering subprocessors) explicit terms restricting access to non-production environments and prohibiting use of institutional client data in any model training. Subprocessor selection per the Cursive Vendor Management Policy prioritizes vendors that maintain industry attestations (SOC 2 Type 2, ISO 27001) and clearly published policies supporting enterprise-level security and privacy practices. Compliance is verified at engagement and reviewed annually per the Cursive Compliance Policy and Procedure Review Calendar.</t>
  </si>
  <si>
    <t>We have not completed a SOC 2 Audit</t>
  </si>
  <si>
    <t>Cursive has not had a personal data breach in the past three years requiring reporting to a governmental agency, notice to individuals, or notice to another organization or institution.</t>
  </si>
  <si>
    <t>Your prelim answers are right on PCOM-01, -03, and -04. PCOM-02 is the freeform "sell yourself" question and your draft is in the right spirit but has typos and could be sharper — let me clean it up.
PCOM-01 | No*
Cursive has not had a personal data breach in the past three years requiring reporting to a governmental agency, notice to individuals, or notice to another organization or institution.
PCOM-02 | Polished version below*
Cursive's privacy program is built on three foundational principles that go beyond compliance baseline:
(1) Data minimization by architecture, not policy. Cursive's authorship verification operates on writing process telemetry tied to an opaque LMS-issued UUID — no name, email, IP-as-identifier, grade data, demographic information, or other directly identifying personal information is collected. The minimum dataset required to deliver the service is the only dataset Cursive collects.
(2) Local-first storage with transient server-side processing. Institutional data is stored on the client's Moodle LMS or in the writer's browser local storage. Where server-side processing is required, raw keystroke telemetry is processed transiently and deleted after authorship-payload generation; only the processed payload is retained. The browser extension implementation supports a fully local processing mode in which no data leaves the writer's device, providing private-by-default verification.
(3) Behaviometric data treated as sensitive personal information. Cursive captures keystroke biometric data — a documented sensitive personal information category under multiple jurisdictions (Illinois BIPA, GDPR Article 9, PIPL Article 28). This data is encrypted in transit (TLS 1.2+) and at rest (CNSA-grade AES-256), access-controlled via AWS IAM least-privilege, segregated by institution through tenant tagging, and excluded by default from any model-training use absent explicit written contractual agreement with the institution.
Supporting controls: documented Privacy Policy at https://cursivetechnology.com/privacy-policy/; Information Security Policies and Procedures aligned with NIST 800-53 control families; annual privacy and security training for all staff (FERPA 201 + KnowBe4); subprocessor inventory with NDA, IAM-controlled access, and exclusion of institutional data from any AI/ML training; cyber-risk insurance through The Hanover Insurance Group; documented Incident Response Plan with 24-hour breach notification commitment; willingness to sign FERPA school-official addenda and Data Processing Agreements upon institutional request.
Roadmap: formal Data Privacy Impact Assessment (DPIA) for TypeID and standalone AI Governance Policy are scoped for completion in 2026 alongside AWS security certification work and SOC 2 Type 2 attestation.</t>
  </si>
  <si>
    <t>Cursive has had no violations of its internal privacy policies or applicable privacy law in the past 36 months.</t>
  </si>
  <si>
    <t>Cursive does not currently maintain a dedicated data privacy staff or office given current company size. The Founder/CEO serves as the named privacy point of contact and Information Security Officer, with external counsel engaged as needed for specific privacy matters. As Cursive scales, a dedicated privacy officer or fractional Data Protection Officer (DPO) is anticipated, particularly in advance of expanded EU/UK engagement where GDPR may require formal DPO designation.</t>
  </si>
  <si>
    <t>ML training data is fully separated from production institutional ("solution") data. Training data for the Keyread and Copy-behavior models consists of Cursive-owned datasets validated against a diverse undergraduate population at the University of Maryland, Mechanical Turk, volunteers, 3rd party contractors, and friends and family; this training data resides in dedicated AWS storage with separate IAM scoping. Production institutional data flowing through the inference API is processed transiently — raw keystroke telemetry is deleted after authorship-payload generation — and is not commingled with training datasets. By default, no institutional customer data is incorporated into training; any deviation requires explicit written contractual agreement (see AIML-06 / AIML-07 in the scoped AI/ML domain).</t>
  </si>
  <si>
    <t xml:space="preserve">Model output (the binary "Verified" / "Verifying" classification) is bound to a specific authenticated inference request — endpoints require a valid LMS-issued token, requests are rate-limited, and inference outputs are tied to the originating UUID and request context. Outputs are logged for audit. </t>
  </si>
  <si>
    <t xml:space="preserve">Training data for the Keyread and Copy-behavior models was vetted through a formal validation process: the data was sourced from a diverse population at the University of Maryland, and elsewhere, including Mechanical Turk, under controlled study conditions, reviewed for quality and representativeness, and validated against the authorship determination task before being used to train production models. The review may include AI classifiers as secondary checks to authenticate the submissions as original. 
</t>
  </si>
  <si>
    <t xml:space="preserve">Partial - Training data is access-controlled via AWS IAM with logging of access events (consistent with general AWS audit logging). A formal training-data monitoring and audit program — including periodic review of training data integrity, drift detection in training datasets, and documented audit logs specific to ML training data lifecycle — is not maintained as a discrete program at current company size. Cursive's training data is static and Cursive-owned (not continuously ingested from production); the dataset is small enough that informal review is tractable. Formalization is on the AI governance roadmap.
</t>
  </si>
  <si>
    <t>Access to ML training data is restricted to staff and subprocessors with explicit business need, scoped via AWS IAM least-privilege. The UAE-based ML engineering subprocessor (Tech Worm LLC) has access to training data infrastructure for model development purposes and operates under contractual restrictions including NDA, IAM scoping, and explicit prohibition on use of institutional client data in training. Founder/CEO maintains administrative access for governance purposes. No other staff have standing access to ML training data.</t>
  </si>
  <si>
    <t xml:space="preserve">Inference inputs and outputs are logged with UUID, timestamp, request context, and the binary "Verified" / "Not enough information" or "verifying" outcome. Logs are retained per the documented retention practices. Model documentation describing the Keyread and Copy-behavior architectures, input feature types, training data provenance, and output semantics exists within product help, documentation, and tips provided directly to teachers and students through the UX. We continue to work with customers to provide training, materials, documentation, and explanation within their interfaces. 
</t>
  </si>
  <si>
    <t xml:space="preserve">Training data is not watermarked. Cursive's training data is Cursive-owned and held in access-controlled AWS storage; the data is not distributed externally, syndicated, or shared in a manner that would benefit from watermarking for provenance or theft detection. Watermarking has not been identified as a meaningful control for the threat model Cursive operates against (closed training pipeline, internal staff access only).
</t>
  </si>
  <si>
    <t>Adversarial training is foundational to Cursive's ML architecture, not an afterthought. Both production models were designed and trained in direct response to specific adversarial threats to authorship verification:Copy-behavior model — adversarial-by-design. The Copy-behavior model exists specifically to defeat the most common adversarial pattern in AI-assisted academic dishonesty: a student generates text using a generative AI tool (ChatGPT, Claude, Gemini, etc.) and then retypes the output into the writing canvas to evade detection by tools that examine only final text. Cursive's Copy-behavior classifier characterizes the typing-behavior signature of retype-from-LLM-output activity — distinct from authentic composition, copy-paste, and ordinary editing — and surfaces this pattern for instructor review. The model was trained on adversarial examples generated under exactly this threat scenario. The model's existence is the defense.Keyread model — adversarially trained against agentic AI. The Keyread typing-biometric authorship classifier is trained against the second major adversarial threat: agentic AI tools (browser automation agents, AI-driven typing assistants, computer-use agents) attempting to simulate human typing behavior to evade authorship verification. Cursive collects typing telemetry from these adversarial sources, characterizes the typing patterns produced by agentic AI, and incorporates this data into model training. As the agentic-AI tooling landscape evolves, new agentic typing patterns are continuously collected and incorporated into retraining cycles, creating an ongoing adversarial training pipeline.Architectural defense mechanisms reinforcing the adversarially-trained models: (1) constrained input feature space — the inference API accepts only writing process telemetry, not arbitrary text input, which materially limits the attack surface relative to generative-AI services that accept arbitrary prompts; (2) bounded binary output (Verified / Verifying), which prevents adversaries from extracting model information through output manipulation or oracle queries; (3) request-level authentication and rate limiting on inference endpoints; (4) ongoing adversarial-input collection as new threat vectors emerge.Cursive's adversarial training program is the subject of an active provisional patent application covering the automated agent detection system (~130 adversarial signals across client-side fingerprint, interaction, and injection telemetry plus server-side request analysis). Formal documentation of the adversarial training methodology, threat model, and patent disclosures is being incorporated into the AI Governance Policy and Model Registry on the AI governance roadmap.</t>
  </si>
  <si>
    <t>Cursive does not yet maintain a formal documented AI risk model for the development and implementation of the Keyread and Copy-behavior models. Risk considerations are embedded in the SDLC and Security Impact Analysis processes, and the constrained classifier architecture (proprietary models with bounded input/output, no third-party LLM, no generative AI) materially limits the AI risk surface relative to LLM-based services. A formal AI risk model aligned with the NIST AI RMF (AI 600-1) is on the AI governance roadmap alongside the AI Governance Policy and Model Registry work scoped for completion in 2026.</t>
  </si>
  <si>
    <t xml:space="preserve">Partial - AI features can be disabled at the tenant level — institutions can disable TypeID at the LMS plugin level (Moodle) or remove the LTI integration, which fully disables AI processing for that tenant. Granular per-user opt-out at the AI-feature level is constrained by the architecture: AI-based authorship verification is intrinsic to TypeID (the service is fundamentally AI-driven), so user-level disabling of AI is functionally equivalent to user-level disabling of the service. Where institutions elect to provide individual student opt-out, that is implemented by the institution removing the affected user from TypeID enrollment within the LMS (consistent with DPAI-08). Institutions are welcome to use our AI/ML-free versions. </t>
  </si>
  <si>
    <t xml:space="preserve">Staff have not yet completed a standalone "responsible AI" training program. AI ethics, bias considerations, the human-in-the-loop principle for authorship determinations, and data minimization in training datasets are discussed during model and feature design and are embedded in the broader privacy/security awareness training (FERPA 201 + KnowBe4). A standalone responsible AI training module is on the AI governance roadmap; given current company size, a fractional or external responsible AI training program is being evaluated.
</t>
  </si>
  <si>
    <t>Cursive's AI features are classifiers not generative AI. The two production models verify identity and originality of student writing through typing-biometric and behavioral analysis:
Keyread (typing-biometric authorship classifier): Continuously verifies that the writer of a piece of text matches their established typing-biometric profile. Outputs a binary determination of "Verified" (typing pattern matches the established author profile) or "Verifying" (insufficient information to confirm additional session data or future session data is required to reclassify). The threshold can be customized within an LMS deployment. 
Copy-behavior (originality classifier): Distinguishes authentic composition from adversarial behaviors specifically, the most common being the "retype-from-LLM-output" pattern, where a user generates text via a generative AI tool (ChatGPT, Claude, etc.) and retypes it into the writing canvas to evade detection by tools that examine only final text. Outputs surface non-typed (pasted) content and adversarial typing-behavior signatures for instructor review.
All AI determinations are presented to a human (the instructor). No grading, disciplinary action, or end-user-facing consequence is applied on the basis of model output. Both models are proprietary and trained by Cursive on Cursive-owned datasets; no third-party LLM, foundation model, or commercial AI service is used in production.</t>
  </si>
  <si>
    <t>Cursive's AI inference API enforces strict input validation that prevents sensitive data ingestion. The inference endpoints accept only structured writing process telemetry (keystroke timing, canvas activity, paste events, final text content) tied to an opaque LMS-issued UUID — the API does not accept arbitrary fields, and validation rejects requests containing data outside the expected schema. Cursive does not collect or accept name, email, IP-as-identifier, grade data, demographic data, financial data, PHI, or other sensitive personal information into the AI processing pipeline. The constrained classifier architecture (only specific feature types, no generative AI accepting arbitrary inputs) reinforces this control.</t>
  </si>
  <si>
    <t>Cursive does not yet maintain documented AI risk-mapping, measurement, and management policies that are conspicuously posted, unambiguous, and effectively implemented across the organization. AI risk considerations are embedded in the SDLC and Security Impact Analysis processes per the Cursive Policies and Procedures, but a standalone published AI Governance Policy aligned with the NIST AI RMF is not yet in place. Formalization of these policies is scoped for the AI governance roadmap.</t>
  </si>
  <si>
    <t xml:space="preserve">Partly - Cursive has informally identified the primary AI risks to the TypeID service and has architected the production models in direct response. The two principal adversarial AI risks identified are: (1) generative AI use to defeat authorship verification (the "retype-from-LLM-output" pattern), addressed by the adversarially-trained Copy-behavior model; (2) agentic AI tools attempting to simulate human typing to evade verification, addressed by adversarial training of the Keyread model against typing telemetry collected from agentic AI sources. Formal documented risk identification, measurement methodology, and quantitative risk assessment aligned with the NIST AI RMF is not yet maintained; formalization is on the AI governance roadmap.
</t>
  </si>
  <si>
    <t>In the event of an AI-related incident (e.g., model performance degradation, suspected misuse, adversarial attack on the inference pipeline, or other AI-specific incident requiring response), AI features can be disabled in a timely manner. Disabling mechanisms include: (1) institution-level disablement via the Moodle plugin or LTI integration removal; (2) Cursive-side disablement via inference API rate-limiting, endpoint disablement, or feature flag controls; (3) full service halt via AWS-level operational controls. AI incident response is incorporated into the broader Incident Response Plan in the Cursive Policies and Procedures.</t>
  </si>
  <si>
    <t>Following AI feature disablement in response to an incident, re-enablement follows the documented incident response and change management process: incident remediation per the severity-based timelines in the Incident Response Plan (Critical: 7 days; High: 30 days; Medium: 60 days; Low: 90 days), Security Impact Analysis of any model or infrastructure changes made during remediation, QA validation, and Founder/CEO approval before re-enablement. Affected institutional customers are notified per the breach notification commitment.</t>
  </si>
  <si>
    <t>Cursive does not yet maintain documented technical and procedural processes specifically aligned with the NIST AI Risk Management Framework. AI risk considerations are embedded in the SDLC, Security Impact Analysis, and Incident Response processes, and operational practices align with several NIST AI RMF Govern/Map/Measure/Manage categories (notably adversarial training of production models, human-in-the-loop for AI-driven determinations, constrained input/output architecture, and inference logging). Formal NIST AI RMF alignment documentation is on the AI governance roadmap.</t>
  </si>
  <si>
    <t xml:space="preserve">If sensitive data were inadvertently introduced into Cursive's AI training dataset, removing it from the production model would require model retraining. Cursive does not currently support per-record removal from a trained model without retraining (this is a known limitation of supervised ML systems generally; "machine unlearning" techniques exist in research but are not standard practice). However, the practical likelihood of this scenario is materially limited by Cursive's data minimization architecture: training data consists of Cursive-owned datasets. Institutional customer data is not used in training by default, and any deviation requires explicit written contractual agreement. If sensitive data were nonetheless identified in the training dataset, Cursive would: (1) remove the data from the training corpus; (2) retrain the affected model on the cleaned dataset; (3) deploy the retrained model per the change management process; (4) notify affected institutional customers per the breach notification commitment.
</t>
  </si>
  <si>
    <t xml:space="preserve">By default, user input data (institutional customer data flowing through the inference API) is NOT used to influence, train, fine-tune, or improve the production AI models. Training operates exclusively on Cursive-owned datasets. Inference inputs are processed transiently (raw keystroke telemetry deleted after authorship-payload generation) and are not retained as training data.
</t>
  </si>
  <si>
    <t>Inference logs include the LMS-issued UUID (user identifier — not name or email), timestamp, request context, request payload metadata, and model output (Verified / Verifying classification or Copy-behavior signal). Logs are retained per the documented retention practices in PRIV-08 and are available for institutional audit on request (consistent with HLAA-07).</t>
  </si>
  <si>
    <t xml:space="preserve">All inputs to the AI inference pipeline are validated through multiple layers: (1) Schema validation — inputs are formatted as structured JSON conforming to a strict schema; requests outside the schema are rejected before processing. (2) Origin attestation — requests must include valid LMS-issued tokens or webservice provider key fingerprints; requests without valid attestation are rejected at the API gateway and never reach the model. (3) Rate limiting — inference endpoints are rate-limited per institution and per UUID to prevent abuse. (4) Constrained input feature space — only specific writing process telemetry feature types are accepted (keystroke timing, canvas activity, paste events, final text); arbitrary fields, free-form prompts, or out-of-schema content are rejected. (5) HMAC-signed UUID tokens — the QR proof-of-authorship system uses HMAC-signed tokens that authenticate the source of authorship-related requests. Together, these controls prevent unauthorized data from being uploaded to or processed by the AI pipeline.
</t>
  </si>
  <si>
    <t>Access controls for institutional accounts are based on structured rules. End-user access is governed by the institution's LMS RBAC (Moodle native or LTI-passthrough), which Cursive inherits — student, instructor, and administrator roles are determined by the LMS and propagated to TypeID functionality (e.g., instructors see authorship reports for their courses; students see their own data). For institutional administrative access to Cursive-side controls, RBAC is enforced via AWS IAM with least-privilege scoping.</t>
  </si>
  <si>
    <t>All operating systems, software libraries, and frameworks leveraged by TypeID systems with access to institutional data are currently supported and receive vendor security updates. The AWS infrastructure layer uses currently-supported AWS-managed services (EKS, RDS, S3, etc.). Application-layer dependencies (Moodle plugin code, browser extension code, server-side API code) are managed via GitHub with Dependabot monitoring for end-of-life or vulnerable dependencies. Outdated or unsupported components identified through dependency review are remediated per the POAM and Linear ticket workflow.</t>
  </si>
  <si>
    <t>TypeID does not require, request, or use location or GPS data. The browser extension and Moodle plugin do not access geolocation APIs. The data inventory is limited to writing process telemetry (canvas activity, pastes, final text, keystroke timing) and an opaque LMS-issued UUID — no location, GPS, geographic, or geolocation data is collected or processed.</t>
  </si>
  <si>
    <t xml:space="preserve">Partly - Separation of duties is partially implemented given current company size. Security administration, system administration, and standard user functions are scoped via AWS IAM roles with least-privilege access — production AWS access is gated through IAM, code deployment is gated through GitHub branch protection and pull request review, and administrative changes to TypeID configuration require Founder/CEO approval. Strict role separation between security administration and system administration is constrained by the small team size (the Founder/CEO performs both functions in some workflows). Compensating controls include comprehensive audit logging (AWS CloudTrail, GitHub audit log) and the IAM-mediated access model that produces a clear audit trail for all administrative actions. Formal separation of duties is anticipated as the team scales and is on the roadmap as part of SOC 2 preparation.
</t>
  </si>
  <si>
    <t xml:space="preserve">Partly - Cursive uses GitHub-native code analysis tools including CodeQL (where applicable to languages used) and Dependabot for vulnerability scanning of dependencies. A dedicated commercial Static Application Security Testing (SAST) tool (e.g., Snyk, SonarQube, Checkmarx) is not currently deployed. SAST tooling is on the application security roadmap alongside the AWS security certification effort. Pre-release security review is performed through manual code review during the pull request workflow per the Cursive SDLC, and inputs are validated as described in APPL-09 / AISC-04.
</t>
  </si>
  <si>
    <t>Cursive maintains established and followed software testing processes per the Cursive SDLC. The release workflow includes: (1) Triage and Backlog review for ticket scoping; (2) In Progress development with developer-level testing; (3) QA with PR staging, code review, and visual/functional verification (including screenshots where applicable) by another team member; (4) Release staging and final QA across all merged tickets before production deployment; (5) Done state for completed/released work. All changes flow through this process before reaching production institutional environments.</t>
  </si>
  <si>
    <t>Access controls for staff are based on structured rules. AWS production access is gated through IAM with role-based least-privilege scoping. GitHub access is governed by team membership and branch protection rules. Internal tool access (Linear, Google Workspace, Bitwarden) is gated through SSO + MFA with role-appropriate permissions. Subprocessors (Brain-Station 23, AWS engineering contractor, Tech Worm LLC) access is similarly scoped via AWS IAM and GitHub team membership, restricted to non-production environments by default with no standing access to institutional production data.</t>
  </si>
  <si>
    <t>The TypeID API and integrations validate data inputs against a strict schema (per AISC-04) and reject malformed, out-of-schema, or unauthenticated requests with appropriate error messaging. End-user-facing error states within the LMS surface meaningful messages without exposing system internals. Logging captures validation failures for operational monitoring and audit per the Cursive logging standards.</t>
  </si>
  <si>
    <t>Cursive maintains software supply chain management through GitHub Organization controls including private/public repository segregation, branch protection, pull request review requirements, and Dependabot monitoring for dependency vulnerabilities and end-of-life components. Identified supply chain issues are tracked in the POAM and Linear ticket workflow with severity-based remediation timelines (Critical: 7 days; High: 30 days; Medium: 60 days; Low: 90 days) per the Cursive Policies and Procedures.</t>
  </si>
  <si>
    <t xml:space="preserve">Partly - Developers receive secure coding awareness through onboarding, the annual privacy and security awareness training (KnowBe4), and ongoing review of OWASP Top 10 considerations during code review. A standalone formal "secure coding training" program with completion certifications is not maintained as a discrete artifact. For subprocessor developers (Brain-Station 23, AWS engineering contractor, Tech Worm LLC), secure coding expectations are incorporated into the engagement contract and reinforced through the pull request review process where Founder/CEO approval is required for production-impacting changes.
</t>
  </si>
  <si>
    <t>TypeID was developed using secure coding practices per the Cursive SDLC. Practices include: (1) input validation and schema enforcement on all API endpoints; (2) parameterized queries / ORM usage to prevent injection vulnerabilities; (3) HMAC-signed token authentication for sensitive operations; (4) TLS 1.2+ for all data in transit and AES-256 for data at rest; (5) least-privilege AWS IAM scoping; (6) secrets management via Bitwarden (no credentials committed to source code); (7) code review on all production-impacting changes per the SDLC; (8) dependency monitoring via Dependabot. Secure coding considerations are reinforced during pull request review.</t>
  </si>
  <si>
    <t xml:space="preserve">TypeID's primary deployment is server-side (AWS) with a Moodle plugin and browser extension. The browser extension is distributed through trusted browser extension stores: Chrome Web Store, Firefox Add-ons, and (where applicable) Microsoft Edge Add-ons store. TypeID does not currently distribute a native mobile application; the LMS-native and browser-based delivery model means TypeID is accessed on mobile devices through the institution's LMS mobile app or mobile browser, not through a Cursive-published mobile app.
</t>
  </si>
  <si>
    <t>Administrator access to institutional instances of TypeID is governed by documented procedures per the Cursive Policies and Procedures. Administrator access requires: (1) institutional contract with Cursive establishing the engagement; (2) named administrators designated by the institution; (3) AWS IAM role assignment scoped to the institution's tenant; (4) MFA enforcement on all administrative interfaces; (5) audit logging of all administrative actions. De-provisioning of administrator access follows the same documented process at offboarding. Administrator access is provisioned by Founder/CEO with Founder/CEO approval; in the future this approval workflow will be delegated as the team scales.</t>
  </si>
  <si>
    <t>Amazon Web Services (AWS), US-East-1 (N. Virginia) region. AWS is a SOC 2 Type 2, ISO 27001, FedRAMP, and HIPAA-eligible cloud provider.</t>
  </si>
  <si>
    <t>AWS SOC 2 Type 2 reports are available through the AWS Artifact service. Public-facing AWS compliance documentation: https://aws.amazon.com/compliance/programs/. Cursive can provide AWS attestation reports under NDA on institutional request.</t>
  </si>
  <si>
    <t xml:space="preserve">Cursive currently hosts institutional data exclusively in AWS US-East-1 (N. Virginia). Where contractually required or where institutional policy mandates in-region storage, Cursive can accommodate alternate AWS regions including AWS regions in EU (Frankfurt, Ireland), Asia Pacific, and others — AWS operates 30+ regions globally. Region selection requires institutional engagement and contract review to align with applicable data residency, regulatory (GDPR, PIPL), and operational requirements.
</t>
  </si>
  <si>
    <t>AWS data centers are staffed 24x7x365. Inherited from AWS — see AWS data center documentation at https://aws.amazon.com/compliance/data-center/.</t>
  </si>
  <si>
    <t>AWS data center physical security includes server cage and dedicated facility separation. Inherited from AWS.</t>
  </si>
  <si>
    <t>AWS data center physical barriers fully enclose the physical space. AWS implements multi-layered physical security including perimeter fencing, access-controlled facility entry, intrusion detection, and 24x7 video surveillance. Inherited from AWS — see AWS data center documentation.</t>
  </si>
  <si>
    <t xml:space="preserve">AWS infrastructure provides geographically diverse availability zones (AZs) within US-East-1 region (separated by meaningful distance for disaster resilience) and the option for multi-region deployment for additional geographic diversity. Cursive's current production environment uses multi-AZ AWS architecture; secondary region failover is on the infrastructure roadmap as part of the EKS rebuild.
</t>
  </si>
  <si>
    <t>TypeID is hosted in a high-availability AWS environment using multi-AZ deployment for compute, storage, and database services. AWS-managed services (RDS, S3, EKS) provide built-in redundancy and automated failover within the region. High-availability architecture inherited from AWS infrastructure design.</t>
  </si>
  <si>
    <t>AWS data centers feature redundant power systems including backup generators and uninterruptible power supply (UPS) units. Inherited from AWS — see AWS infrastructure documentation.</t>
  </si>
  <si>
    <t>AWS regularly tests redundant power strategies as part of standard data center operations. Power redundancy testing is documented in AWS SOC 2 Type 2 reports and ISO 27001 attestation. Inherited from AWS.</t>
  </si>
  <si>
    <t>AWS data centers maintain active and regularly-tested cooling and fire-suppression systems. Inherited from AWS infrastructure operations.</t>
  </si>
  <si>
    <t>AWS data centers have multiple ISP providers and redundant network connectivity. ISP redundancy is part of AWS's underlying network architecture. Inherited from AWS.</t>
  </si>
  <si>
    <t>AWS data centers feature multiple network provider entrances and redundant connectivity infrastructure. Inherited from AWS.</t>
  </si>
  <si>
    <t>MFA is required for all administrative accounts in Cursive's AWS environment. AWS Console and AWS API access for all administrative roles (Cursive Founder/CEO, AWS engineering subprocessor) require MFA enforcement at the IAM policy level. AWS root account is protected by MFA and is not used for routine operations. Subprocessor administrative access (Brain-Station 23, Tech Worm LLC where applicable) similarly requires MFA. MFA is also enforced on all internal Cursive administrative interfaces (GitHub, Linear, Google Workspace, Bitwarden) per HLAA-08.</t>
  </si>
  <si>
    <t>Cursive uses AWS-provided hardening tools and pre-hardened components throughout the infrastructure: AWS-managed services (EKS, RDS, S3) inherit AWS security baselines; AWS-provided AMIs are used where applicable; AWS Security Hub and AWS Config are being onboarded as part of the EKS rebuild for continuous compliance monitoring; AWS GuardDuty evaluation is in progress for threat detection. AWS Well-Architected Framework principles guide infrastructure design.</t>
  </si>
  <si>
    <t>AWS does not have access to Cursive's encryption key material in plaintext. Cursive uses AWS Key Management Service (AWS KMS) for encryption key management; KMS keys are stored in AWS-managed hardware security modules (HSMs) and are accessible only through controlled AWS API calls authenticated by Cursive's IAM credentials. AWS personnel cannot directly export, view, or extract Cursive's KMS key material.</t>
  </si>
  <si>
    <t>Cursive employs stateful packet inspection through AWS Network Firewall and AWS Security Groups. AWS Network Firewall provides stateful traffic inspection with rule-based filtering at the VPC perimeter; AWS Security Groups provide stateful instance-level filtering. Both inherit AWS's underlying network security infrastructure.</t>
  </si>
  <si>
    <t>Firewall change requests follow Cursive's documented change management process per the Cursive Policies and Procedures and SDLC. Network and firewall configuration changes are managed as code where possible (Infrastructure as Code via AWS CloudFormation / Terraform under the EKS rebuild), require Founder/CEO approval, undergo Security Impact Analysis, and are deployed through the standard QA/Release workflow with audit logging via AWS CloudTrail.</t>
  </si>
  <si>
    <t xml:space="preserve">Cursive does not currently operate a dedicated network-based intrusion detection system. Network-layer protection is provided through AWS Network Firewall (per FIDP-01), AWS Security Groups, VPC isolation, and TLS 1.2+ encryption on all network traffic. AWS GuardDuty (which provides managed threat detection for AWS environments including network-flow analysis, DNS analysis, and anomaly detection) is under evaluation as part of the EKS rebuild and AWS security certification effort. Once GuardDuty is enabled, this control will move to "Yes."
</t>
  </si>
  <si>
    <t>Cursive does not currently operate dedicated host-based intrusion detection on production hosts. AWS-managed services (EKS, RDS, S3) inherit AWS's underlying host security controls. AWS GuardDuty (which includes runtime monitoring for EKS workloads via the EKS Runtime Monitoring feature) is under evaluation for deployment as part of the EKS rebuild. Until host-based IDS is deployed, compensating controls include AWS-managed service hardening, AWS IAM least-privilege scoping, container image scanning, and CloudTrail audit logging.</t>
  </si>
  <si>
    <t>Audit logs are available for all changes to network, firewall, and (when enabled) IDS configurations through AWS CloudTrail, which logs all AWS API calls including network and security configuration changes. CloudTrail logs are retained per the audit retention requirements in the Cursive Policies and Procedures (3+ years), are immutable, and are accessible to authorized Cursive personnel for review and to institutional customers under audit on contractual request. AWS Config (under deployment as part of the EKS rebuild) will provide additional configuration change tracking with point-in-time state history.</t>
  </si>
  <si>
    <t>Authority for firewall and network configuration changes is documented in the Cursive Policies and Procedures. Approval authority: Joseph Thibault, Founder &amp; CEO (acting as Information Security Officer). Implementation authority: Joseph Thibault and the AWS engineering subprocessor (under direct Founder/CEO supervision and IAM-scoped access). Material changes affecting institutional security posture are subject to Security Impact Analysis and trigger institutional notification per HLSY-02. As Cursive scales, approval authority will be delegated to a designated infrastructure security role.</t>
  </si>
  <si>
    <t>Cursive does not currently operate a dedicated network-based intrusion prevention system. Network-layer protection is provided through AWS Network Firewall stateful inspection (which provides some IPS-like capabilities including signature-based filtering) and AWS-native DDoS protection (Shield Standard, included with all AWS accounts). Dedicated IPS deployment via AWS WAF and AWS GuardDuty (with automated response actions) is on the infrastructure roadmap as part of the EKS rebuild and AWS security certification effort.</t>
  </si>
  <si>
    <t>Cursive does not currently operate dedicated host-based intrusion prevention. Host hardening is inherited from AWS-managed services and AWS-provided pre-hardened components. Container security via EKS will incorporate runtime threat detection and response capabilities once GuardDuty EKS Runtime Monitoring is enabled. Compensating controls include AWS IAM least-privilege scoping, container image scanning during the build pipeline, network segmentation via Security Groups, and CloudTrail audit logging.</t>
  </si>
  <si>
    <t>Cursive does not currently employ a dedicated next-generation persistent threat (NGPT) monitoring solution. AWS GuardDuty provides managed threat detection capabilities aligned with NGPT objectives (including detection of compromised instances, reconnaissance activity, and malicious behavior patterns) and is under evaluation for deployment as part of the EKS rebuild. AWS Security Hub will provide centralized security finding aggregation once deployed.</t>
  </si>
  <si>
    <t xml:space="preserve">Intrusion monitoring is performed internally by Cursive, leveraging AWS-native managed services (CloudTrail, Network Firewall, Security Groups). Once AWS GuardDuty is enabled, monitoring will combine AWS-managed threat detection (functionally equivalent to a managed third-party service) with internal review and response by Cursive personnel. Cursive does not currently engage a dedicated third-party Managed Detection and Response (MDR) provider; for institutions requiring 24x7 third-party SOC monitoring, this can be evaluated as part of an institutional engagement.
</t>
  </si>
  <si>
    <t xml:space="preserve">AWS-native services (CloudTrail, Network Firewall, GuardDuty when enabled) provide 24x7 automated monitoring with alerting. Human response is provided by Cursive personnel during business hours; out-of-hours alerts are delivered via on-call notification to the Founder/CEO. Cursive does not currently maintain 24x7 staffed monitoring with sub-hour response time given current company size — Maximum Tolerable Downtime is documented as two business days per the Incident Response Plan, with critical-severity remediation within 7 days. For institutional engagements requiring stricter response SLAs, a third-party MDR engagement can be evaluated.
</t>
  </si>
  <si>
    <t>Cursive maintains a formal documented Incident Response Plan as part of the Cursive Policies and Procedures. The plan covers awareness/identification, Maximum Tolerable Downtime (two business days, excluding weekends and holidays), Recovery Time Objective (72 hours), mobilization of internal and external resources, communication cadence (initial acknowledgement, daily updates, all-clear notification), and remediation. Severity-based remediation timelines are defined: Critical risk within 7 days; High risk within 30 days; Medium risk within 60 days; Low risk within 90 days. Breach notification commitment: within 24 hours of confirmed breach to affected institutional customers, with downstream end-user notification coordinated with the institution. The plan is tested at least annually through an approved test scenario including oral walk-through.</t>
  </si>
  <si>
    <t>Cursive operates an internal incident response team, with the Founder/CEO serving as the named incident response lead and Information Security Officer. The internal team is augmented by the AWS engineering subprocessor for infrastructure-layer incidents and by external counsel for legal and breach-notification matters. For institutions requiring third-party Managed Detection and Response (MDR) integration, an external MDR engagement can be evaluated as part of the institutional contract scope.</t>
  </si>
  <si>
    <t xml:space="preserve">Cursive's incident response plan provides 24x7x365 response capability. Initial detection and alerting are automated through AWS-native monitoring (CloudTrail, CloudWatch alarms, Network Firewall logs, GuardDuty when enabled). Out-of-hours alerts are delivered via on-call notification to the Founder/CEO. Triage and remediation are initiated upon awareness, with the documented severity-based remediation timelines beginning at the time of confirmed incident. Maximum Tolerable Downtime is documented as two business days per the Incident Response Plan; critical-severity issues are addressed within 7 days regardless of when detected.
</t>
  </si>
  <si>
    <t>Cyber risk insurance through The Hanover Insurance Group of Towson, MD. Coverage limits and policy details available under NDA on institutional request.</t>
  </si>
  <si>
    <t xml:space="preserve">Partly - Vulnerability scanning is performed during development and pre-release through GitHub-native tooling (Dependabot for dependency vulnerability monitoring, CodeQL for code analysis where applicable). Identified vulnerabilities are tracked in the Plan of Action and Milestones (POAM) and Linear ticket workflow with severity-based remediation timelines (Critical: 7 days; High: 30 days; Medium: 60 days; Low: 90 days). Authenticated user-account-based vulnerability scanning of production systems via dedicated SAST/DAST tooling is not currently performed on every release; this is on the application security roadmap as part of the AWS security certification effort and EKS rebuild. Most recent third-party authenticated vulnerability scan: Tenable Nessus, December 2023 / January 2024. Next formal third-party assessment is being scheduled as part of the AWS security certification work currently underway.
</t>
  </si>
  <si>
    <t>Cursive will provide vulnerability scan results to institutional customers under NDA on request. Results from third-party assessments (e.g., Tenable Nessus assessment from December 2023 / January 2024) are available; results from future assessments scheduled as part of the AWS security certification work will similarly be available. Active findings tracked in the POAM are also shareable under NDA. Cursive's standard practice is to redact vulnerability details that could enable exploitation if disclosed prematurely; institutions can review summary findings, severity ratings, and remediation status.</t>
  </si>
  <si>
    <t xml:space="preserve">Cursive scans for common web application security vulnerabilities (SQL injection, XSS, XSRF, CSRF, insecure direct object references, authentication/authorization flaws, etc.) through several layers: (1) GitHub-native code analysis tooling (CodeQL where applicable, Dependabot for dependency vulnerabilities); (2) defensive coding practices in the SDLC including input validation, schema enforcement, parameterized queries, HMAC-signed token authentication, and TLS 1.2+ on all traffic; (3) manual code review during the pull request workflow including OWASP Top 10 considerations; (4) periodic third-party assessments (most recent: Tenable Nessus, Dec 2023 / Jan 2024). Dedicated commercial DAST tooling (e.g., Burp Suite Professional, OWASP ZAP automated scanning, or commercial DAST platforms) is on the application security roadmap as part of the EKS rebuild.
</t>
  </si>
  <si>
    <t xml:space="preserve">In part - External vulnerability monitoring is provided through AWS-native services including AWS Network Firewall (with managed threat signature rules), AWS Shield Standard (DDoS protection, included with all AWS accounts), and AWS GuardDuty (under evaluation for deployment as part of the EKS rebuild. Once enabled, will provide continuous external threat detection including reconnaissance, malicious traffic patterns, and compromised-instance detection). Most recent formal external vulnerability scan: Tenable Nessus, December 2023 / January 2024. Continuous external automated scanning via dedicated commercial tooling is on the security roadmap.
</t>
  </si>
  <si>
    <t xml:space="preserve">The most recent third-party security assessment was conducted in December 2023 / January 2024 by Tenable Nessus — outside the one-year window. A new third-party assessment is being scheduled as part of the AWS security certification work currently underway with the dedicated AWS engineering subprocessor and EKS rebuild. Continuous monitoring via AWS-native tools (CloudTrail, Network Firewall logs, GuardDuty under evaluation) provides ongoing security visibility between formal third-party assessments. Cursive will commit to a third-party assessment cadence of at least annually as part of the SOC 2 Type 2 attestation work scoped on the security roadmap.
</t>
  </si>
  <si>
    <t>Cursive will permit institutional vulnerability testing of TypeID systems at a mutually agreed time and date, with appropriate scope, rules of engagement, and notification. Testing terms (scope, methodology, target environments, data handling, communication, post-test reporting) are negotiated as part of the institutional engagement, typically through the master services agreement or a dedicated penetration testing addendum. Testing should target Cursive-controlled infrastructure (TypeID API, Moodle plugin, browser extension); testing of underlying AWS infrastructure must comply with AWS's published Penetration Testing policy.</t>
  </si>
  <si>
    <t>All authentication is delegated to LTI and/or the institution's native application (e.g., Moodle). There is no direct end-user or administrator login to Cursive's system. Authentication is brokered securely between the client site and Cursive's API via LMS-issued tokens; no individual login or administrator action is required at the Cursive layer. SSO at the institutional layer is fully supported through the LTI standard and Moodle's native authentication (which itself supports SAML, OIDC, CAS, LDAP, Shibboleth, and other federated authentication protocols).</t>
  </si>
  <si>
    <t>Authentication for end users and institutional administrators is delegated entirely to LTI and/or the institution's native application (Moodle). Cursive does not maintain a separate local authentication system for institutional users — there is no direct login to Cursive's system. The institution's local authentication mechanism (Moodle's local password authentication, where applicable) flows through to TypeID via the LMS integration.</t>
  </si>
  <si>
    <t>Password complexity requirements are enforced at the institutional LMS layer (Moodle), where the institution configures its own complexity, length, history, and rotation policies per institutional policy. Cursive inherits whatever password policy the institution has configured. There is no separate Cursive password policy because there is no direct login to Cursive's system.</t>
  </si>
  <si>
    <t>Password complexity, length, and restriction settings are enforced at the institutional LMS layer (Moodle) per the institution's configured policy. Cursive does not maintain separate password complexity rules because there is no direct login to Cursive's system. Cursive's documented password policy in the Cursive Policies and Procedures (14+ characters, mixed case + number + special character, annual rotation, no readable substitutions) governs Cursive staff access to internal Cursive systems.</t>
  </si>
  <si>
    <t>Password reset for end users is performed at the institutional LMS layer (Moodle) per the institution's documented reset procedures. Cursive does not perform password resets for institutional users because there is no direct login to Cursive's system. For Cursive staff access to internal Cursive systems, password reset procedures are documented in the Cursive Policies and Procedures and follow MFA-protected reset flows through Bitwarden and SSO providers.</t>
  </si>
  <si>
    <t>Cursive does not currently participate in InCommon or another eduGAIN-affiliated trust federation. All authentication is delegated to LTI and/or the institution's native application (Moodle), which inherits the institution's federation membership. Direct InCommon/eduGAIN participation by Cursive will be evaluated as required by institutional engagement.</t>
  </si>
  <si>
    <t>Cursive does not store passwords in plaintext. As described in AAAI-01 / AAAI-02, end-user authentication is delegated to LTI and/or the institutional Moodle layer — Cursive does not store end-user passwords at all. For Cursive staff access to internal systems, credentials are managed through Bitwarden (zero-knowledge encrypted credential vault) and SSO providers; no plaintext password storage occurs at any layer Cursive controls.</t>
  </si>
  <si>
    <t>No passwords or passphrases are hard-coded into Cursive's systems, applications, or source code. All credentials and secrets are managed through Bitwarden (for staff credentials) and AWS Secrets Manager / AWS Systems Manager Parameter Store (for application-layer credentials, API keys, and database connection strings). Source code repositories are scanned for accidental credential commits via GitHub-native secret scanning and Dependabot. No credentials appear in version-controlled code.</t>
  </si>
  <si>
    <t>Partial - Cursive maintains audit logs at multiple layers, though the specific combination of (login + logout + actions performed + source IP) varies by layer because end-user authentication is delegated to the LMS rather than performed at the Cursive layer:
(1) End-user login/logout events are logged at the institutional LMS layer (Moodle) per the institution's audit configuration — Cursive does not see end-user login events directly because there is no direct login to Cursive.
(2) API request logs at the Cursive layer capture: timestamp, LMS-issued UUID (user identifier — not name or email), request endpoint, action performed (inference request, data submission, etc.), request payload metadata, response/outcome, and source IP from AWS load balancer access logs.
(3) AWS CloudTrail logs all administrative actions at the infrastructure layer (Cursive staff and subprocessor administrative access), including identity, timestamp, action, source IP, and result.
(4) AWS GuardDuty (under deployment) will provide additional behavior-anomaly logging.
Logs are retained per the audit retention requirements in the Cursive Policies and Procedures (3+ years), are immutable, and are made available to institutional customers on contractual request.</t>
  </si>
  <si>
    <t>Cursive's logging and monitoring architecture:
(a) System capability to log security/authorization changes and user/administrator security events:
— AWS CloudTrail logs all AWS API calls including IAM changes, security group modifications, KMS key operations, and S3 access events. CloudTrail logs are immutable and retained 3+ years per the Cursive Policies and Procedures.
— Application-layer API logs capture inference requests, authentication failures (LMS-token validation failures), rate-limit violations, schema validation rejections, and HMAC signature failures.
— GitHub audit log captures repository access, branch protection changes, and administrative actions on the source code.
— AWS WAF logs (when WAF is deployed as part of the EKS rebuild) will capture blocked requests, rate-limit triggers, and policy violations.
(b) Logging and monitoring requirements implemented:
— Centralized logging via AWS CloudWatch Logs with cross-service correlation through AWS X-Ray for distributed services (Lambda, SQS, SNS).
— Alerting on security-relevant events via CloudWatch alarms with notification to Founder/CEO on-call.
— Audit log immutability through CloudTrail's append-only model and S3 with bucket policies preventing log deletion.
(c) SIEM / log collector usage:
— No dedicated commercial SIEM (e.g., Splunk, Datadog, Sumo Logic) is currently deployed. AWS CloudWatch + CloudTrail + S3 archival serve as the centralized log aggregation layer. SIEM evaluation is on the security infrastructure roadmap as part of the EKS rebuild and AWS security certification effort. AWS Security Hub is being onboarded to provide centralized security finding aggregation across AWS services.</t>
  </si>
  <si>
    <t>Audit log retention and protection are documented in the Cursive Policies and Procedures:Retention period: Audit logs (AWS CloudTrail, application API logs, ALB access logs) are retained for a minimum of 3 years in accordance with the Audit &amp; Accountability policy. Logs are stored in AWS S3 with append-only bucket policies and lifecycle rules.Log protection: CloudTrail logs are immutable by design (append-only). S3 bucket policies prevent log deletion or modification. KMS encryption is applied at rest; TLS 1.2+ in transit. Access to log storage is gated through AWS IAM with least-privilege scoping; only the Founder/CEO and the AWS engineering subprocessor have access to log infrastructure.Customer accessibility: Audit logs are available to institutional customers under contractual request. Standard practice is to provide log excerpts relevant to the institution's tenant scope (filtered by the institution's UUID namespace and request context), delivered through secure channel. End-user authentication logs are accessible through the institution's own LMS (Moodle) since authentication occurs at the LMS layer.Documentation references: Cursive Policies and Procedures (Audit &amp; Accountability section) — available on request.</t>
  </si>
  <si>
    <t>All authentication is delegated to LTI and/or the institution's application (e.g., Moodle), which itself integrates with the institution's chosen authentication and authorization systems. Through the Moodle authentication plugin ecosystem and LTI standard, TypeID inherits integration with SAML, OIDC, CAS, LDAP, Shibboleth, OAuth, and any other authentication system the institution has configured. There is no direct login to Cursive's system.</t>
  </si>
  <si>
    <t>Cursive does not collect or maintain attribute mappings for end users beyond the opaque LMS-issued UUID. No eduPerson, ePPA, ePPN, ePE, or other federated identity attributes are consumed by Cursive. All identifier information (name, email, role, institutional affiliation, course enrollment) is deferred to and managed by the institutional LMS. Cursive's data minimization architecture intentionally avoids consuming federated identity attributes that Cursive does not need to perform authorship verification.</t>
  </si>
  <si>
    <t>All authentication is delegated to LTI and/or the institution's application (e.g., Moodle), which integrates with the institution's directory service (Active Directory, LDAP, Azure AD, Google Workspace, etc.) per the institution's configuration. There is no direct login to Cursive's system, so Cursive does not perform direct directory integration; directory integration is inherited through the LMS layer.</t>
  </si>
  <si>
    <t>All authentication is delegated to LTI and/or the institution's application (e.g., Moodle), which supports SAML2 (including redirect flow), OIDC, CAS, OAuth 2.0, and other SSO standards through Moodle's authentication plugin ecosystem. TypeID inherits the SSO standard configured at the LMS layer. There is no direct login to Cursive's system, so Cursive does not directly implement web SSO standards — SSO is inherited from the LMS configuration.</t>
  </si>
  <si>
    <t xml:space="preserve">Cursive uses only an opaque LMS-issued UUID as the user identifier; no email address is collected. Differentiation between email and user identifier is not architecturally relevant because the only identifier consumed is the UUID — there is no second identifier to differentiate from. The institutional LMS handles any internal differentiation between email, eduPersonPrincipalName, and other identifier types per the institution's configuration; Cursive sees only the UUID.
</t>
  </si>
  <si>
    <t xml:space="preserve">MFA at the end-user authentication layer is enforced by the institutional LMS per the institution's configuration; Cursive inherits whatever MFA policy the institution has in place. There is no direct login to Cursive's system for end users, so a Cursive-side MFA implementation is not architecturally applicable. For Cursive staff and administrative access to internal Cursive systems (AWS, GitHub, Linear, Google Workspace, Bitwarden), MFA is enforced on all administrative interfaces.
</t>
  </si>
  <si>
    <t xml:space="preserve">Session lockout/timeout for end users is enforced at the institutional LMS layer (Moodle), per the institution's configured session timeout policy. TypeID inherits the LMS session lifecycle — when the institution's Moodle session expires, the LMS-issued tokens that authorize Cursive API access become invalid. Cursive does not maintain a separate session lifecycle for end users because there is no direct login to Cursive's system. At the API layer, LMS-issued tokens used to authorize Cursive API requests have time-bound validity. For Cursive staff and administrative interfaces (AWS Console, GitHub, Linear, Google Workspace), session inactivity timeouts are enforced per the SSO provider's configured policy.
</t>
  </si>
  <si>
    <t>Institutional data is not stored on devices configured with publicly routable IP addresses. All Cursive AWS resources storing institutional data (S3 buckets, RDS instances, EKS pods) reside within private subnets in a Cursive-managed VPC using RFC 1918 private address space. Public access is mediated through AWS Application Load Balancers, AWS API Gateway, and AWS CloudFront with strict security group and IAM policy enforcement. S3 buckets containing institutional data have public access blocked at the account and bucket level. No database server, file server, or storage device containing institutional data is directly addressable from the public internet.</t>
  </si>
  <si>
    <t>All transport of sensitive data is encrypted using TLS 1.2 or higher with industry-standard cipher suites. This applies to: (1) client-to-server traffic (browser extension, Moodle plugin, LTI tool to Cursive API); (2) server-to-server traffic within AWS (between EKS, RDS, S3, KMS, and other AWS services); (3) administrative access to AWS Console, GitHub, and other internal tools. TLS configuration follows AWS recommended baselines and is regularly reviewed for cipher suite hardening. Plaintext transport of institutional data is not permitted at any layer.</t>
  </si>
  <si>
    <t>All storage of sensitive data is encrypted at rest using AES-256 encryption (CNSA-approved). AWS-managed services apply encryption at multiple layers: S3 server-side encryption with AWS KMS-managed keys, RDS encryption at rest with KMS, EBS volume encryption, and KMS encryption for EKS secrets. Encryption keys are managed through AWS Key Management Service (AWS KMS) with HSM-backed key storage. Encryption applies to running databases, file storage, archival storage, and backup copies.</t>
  </si>
  <si>
    <t xml:space="preserve">Cryptographic modules in use throughout Cursive's AWS environment conform to FIPS 140-2 / 140-3 standards. AWS Key Management Service (KMS) operates on FIPS 140-2 Level 3 validated hardware security modules. AWS CloudHSM (available on-demand for institutional engagements requiring stricter key custody) provides FIPS 140-2 Level 3 dedicated HSMs. TLS implementations across AWS services use FIPS-validated cryptographic modules. Cursive inherits FIPS-validated cryptographic infrastructure from AWS-managed services rather than maintaining separate cryptographic modules. AWS FIPS endpoints can be used where institutional contracts require explicit FIPS endpoint enforcement.
</t>
  </si>
  <si>
    <t>At the completion of an institutional contract, institutional data remains accessible within the system for a defined wind-down period to support data export, migration, and audit. Standard wind-down period: 90 days from contract end date, during which the institution can extract data through the institutional LMS (where most institutional data resides) and request export of any Cursive-side data (authorship payloads, audit logs scoped to the institution). Specific retention periods at contract end can be negotiated as part of the master services agreement. After the wind-down period, institutional data is deleted from Cursive's systems per the data deletion procedures in the Cursive Policies and Procedures.</t>
  </si>
  <si>
    <t>Ownership rights to institutional data, inputs, outputs, and metadata remain with the institution at all times, including in the event of Cursive Technology, Inc. acquisition, merger, or bankruptcy. The master services agreement and any applicable Data Processing Agreement specify that institutional data is owned by the institution and that Cursive holds the data in a fiduciary capacity. Provisions for institutional data return and deletion in the event of provider business changes are documented and survive termination of the agreement.</t>
  </si>
  <si>
    <t>Institutional data does not leave the institution's designated data zone (AWS US-East-1, N. Virginia) through backups or network routing. Backups are stored within the same AWS region using cross-AZ replication for durability and disaster recovery. No backup copies are routed to other AWS regions, transferred to off-AWS storage, or otherwise leave the US-East-1 region without explicit institutional authorization. Where institutional contracts specify alternate regional storage (e.g., for GDPR or PIPL compliance), backup configuration follows the same regional constraint as primary storage.</t>
  </si>
  <si>
    <t>Long-term retention and archival storage of business data uses AWS S3. AWS data centers provide environmental protections (climate control, fire suppression, redundant power, physical access controls). Archived data inherits the same encryption (AES-256, KMS-managed keys), access controls (IAM least-privilege), and immutability protections as production data. Cursive does not maintain physical media for long-term retention; all archival storage is digital within AWS.</t>
  </si>
  <si>
    <t>At the completion of an institutional contract, data is either returned to the institution (via standard export channels — most institutional data already resides in the institution's own LMS) or deleted from Cursive's systems per the data deletion procedures in the Cursive Policies and Procedures. Standard practice: 90-day wind-down for data extraction,  followed by hard deletion from production systems and from backups within the next backup retention cycle. A deletion certification can be provided on institutional request, documenting the date of deletion and the systems from which data was deleted.</t>
  </si>
  <si>
    <t>Institutional customers can extract a full or partial backup of data through several mechanisms: (1) Direct extraction from the institutional LMS (Moodle), where most institutional data resides — Moodle's native data export and reporting capabilities apply; (2) Cursive-side data export on institutional request, providing the authorship payloads, audit logs, and other Cursive-stored data scoped to the institution's tenant in standard formats (JSON or CSV); (3) Browser-extension users can extract or delete their own locally-stored data through the extension UI.</t>
  </si>
  <si>
    <t>Backups include all components necessary for service recovery: AWS RDS automated backups capture database state including schema, data, and configuration; AWS S3 versioning preserves object-level history for institutional data; EKS deployments are managed via Infrastructure as Code (CloudFormation / Terraform under the EKS rebuild) with backed-up configuration; application code is preserved in GitHub with full version history. Together these enable full recovery of operating system state, security configuration, application code, and data files.</t>
  </si>
  <si>
    <t>Off-site (digital) backups are performed through AWS-managed cross-AZ replication and S3 versioning. Backup data resides in physically separate AWS Availability Zones within the US-East-1 region, providing geographic separation from primary storage while remaining within the institution's contracted data zone. AWS Backup service provides additional point-in-time backup capabilities for AWS-managed services.</t>
  </si>
  <si>
    <t>Cursive does not maintain physical backups of institutional data. All backups are digital and stored within AWS infrastructure. No physical media containing institutional data is created, transported, or stored off-site.</t>
  </si>
  <si>
    <t>All backups are encrypted using AES-256 encryption with AWS KMS-managed keys (consistent with DATA-03). Encryption applies to AWS RDS automated backups, S3 cross-AZ replicas, EBS snapshots, and AWS Backup service vaults. Backup encryption keys are managed through the same KMS infrastructure as production encryption keys, with HSM-backed key storage and IAM-mediated access controls.</t>
  </si>
  <si>
    <t xml:space="preserve">Cursive does not maintain physical media containing institutional data, so traditional media handling procedures (end-of-life, repurposing, data sanitization for physical storage) do not directly apply. For digital data lifecycle management, the Cursive Policies and Procedures (Data Removal/Disposal section) document deletion procedures including: (1) deletion from production AWS systems on contractual request or end-of-contract; (2) propagation of deletion to backup systems within the next backup retention cycle; (3) verification of deletion completion. AWS-managed physical media handling is inherited from AWS data center procedures, which conform to NIST SP 800-88 standards. Cursive does not have a separate physical media handling program because Cursive does not handle physical media containing institutional data.
</t>
  </si>
  <si>
    <t>AWS data center physical media handling adheres to NIST SP 800-88 standards for media sanitization. AWS publishes detailed documentation on storage device decommissioning, including degaussing, physical destruction, and certified destruction processes for storage media containing customer data. Inherited from AWS infrastructure operations. Reference: AWS Compliance documentation and AWS data center physical security overview.</t>
  </si>
  <si>
    <t xml:space="preserve">Cursive staff and subprocessors do not have standing access to institutional data. All access to AWS production environments is gated through IAM with least-privilege role scoping. Subprocessors (Brain-Station 23, AWS engineering contractor, Tech Worm LLC) have access to deploy code only and operate in non-production or staging environments by default; production data access is not part of their standing permission set. Cursive does not collect or store financial data, PHI, or other sensitive information beyond the writing process telemetry tied to opaque LMS-issued UUIDs.
</t>
  </si>
  <si>
    <t>Cursive's environment supports both single-tenant and multi-tenant data isolation:
Single-tenant capability: Dedicated single-tenant environments can be provisioned on institutional request, providing physically separated AWS resources (dedicated RDS instances, dedicated S3 buckets, dedicated KMS keys) for the institution.
Default multi-tenant isolation: In the standard multi-tenant configuration, institutional data is logically isolated through tenant tagging (each record tagged by source institution, user UUID, resource ID, and secure token), partitioned storage (institutional data stored in tenant-scoped namespaces within shared infrastructure), and IAM-mediated access controls (queries scoped to the requesting institution's tenant). Cross-tenant data access is prevented at the application layer through tenant-scoped query enforcement and at the infrastructure layer through IAM policies that scope access to tenant-specific resource patterns. The processing model means there is no shared inference state between institutions — each inference operates on the requesting institution's data only.</t>
  </si>
  <si>
    <t xml:space="preserve">Ownership rights to all data, inputs, outputs, and metadata are retained by the institution at all times. Cursive operates as a processor / school official acting on behalf of the institution; Cursive does not claim ownership rights over institutional data, derivative outputs (authorship payloads), or metadata. This is documented in the master services agreement and applicable Data Processing Agreement. </t>
  </si>
  <si>
    <t xml:space="preserve">In the event of imminent bankruptcy, closing of business, or service retirement, Cursive commits to providing institutional customers with at least 90 days to extract data and migrate to alternative solutions. This commitment is documented in the master services agreement. Practical extraction is supported through the data export mechanisms (institutional LMS export, Cursive-side export on request). For the worst-case scenario where Cursive personnel are unavailable to support extraction, institutional data residing in the institution's own LMS (Moodle) is unaffected by Cursive's status — the institution retains full access to all data stored at the LMS layer regardless of Cursive's operational status.
</t>
  </si>
  <si>
    <t>Backup copies are made according to AWS-managed automated schedules: AWS RDS automated daily backups with point-in-time recovery; S3 versioning for object-level history; AWS Backup vaults for application-level backup of AWS-managed resources. Backups are encrypted (AES-256, KMS-managed keys), stored across multiple Availability Zones for durability, retained per the configured retention policy, and protected against deletion through IAM policies and (where applicable) AWS Backup vault lock for write-once retention. Backup integrity is verified through periodic restore testing as part of disaster recovery validation per the Cursive Policies and Procedures.</t>
  </si>
  <si>
    <t>Cursive maintains a documented cryptographic key management process per the Cursive Policies and Procedures, leveraging AWS Key Management Service (KMS) for centralized key lifecycle management:
Key generation: Through AWS KMS using FIPS 140-2 Level 3 validated HSMs. Customer-managed KMS keys are generated within AWS KMS for institutional data encryption.
Key exchange: AWS KMS handles key derivation and envelope encryption automatically; data encryption keys (DEKs) are generated per-object/per-record and encrypted by the master KMS key. No manual key exchange occurs.
Storage: KMS master keys are stored in HSM-backed AWS KMS infrastructure; key material is not extractable from KMS.
Safeguards: IAM policies restrict KMS key usage to authorized roles; CloudTrail logs all KMS API calls including key usage; KMS key policies enforce least-privilege access.
Use: Encryption operations are performed within AWS-managed services (S3, RDS, EBS, etc.) using KMS-managed keys without exposing key material to application code.
Vetting: KMS keys are reviewed annually per the Cursive Compliance Policy and Procedure Review Calendar. Subprocessor access to KMS is scoped via IAM least-privilege.
Replacement: KMS supports automatic annual key rotation for AWS-managed components and on-demand rotation for customer-managed keys. Key rotation is enabled per AWS recommended baselines.
The cryptographic key management process applies uniformly across database, system, web, and application components within Cursive's environment.</t>
  </si>
  <si>
    <t>Cursive performs security assessment of third-party companies as part of subprocessor selection per the Cursive Vendor Management Policy. Evaluation criteria include: (1) third-party attestations (SOC 2 Type 2, ISO 27001, FedRAMP, HIPAA where applicable); (2) clear and publicly available privacy and security policies; (3) documentation supporting enterprise-level security practices; (4) regulatory compliance posture relevant to higher education (FERPA, state privacy laws, GDPR/PIPL where applicable); (5) data handling and breach notification commitments; (6) operational maturity indicators including support availability and incident response history. Subprocessors are reviewed at engagement and annually thereafter per the Cursive Compliance Policy and Procedure Review Calendar.</t>
  </si>
  <si>
    <t>Cursive maintains contractual language governing third-party access to institutional data with all subprocessors that have any access to Cursive infrastructure or data flows. Standard contractual provisions include:
— Confidentiality and non-disclosure obligations covering institutional data and Cursive proprietary information;
— Data use limitations restricting use to the agreed service purpose only — no use of institutional data for marketing, advertising, training of subprocessor models, or any purpose beyond the engagement scope;
— Access controls requiring AWS IAM least-privilege scoping and MFA on all administrative access;
— For offshore engineering subprocessors (Brain-Station 23, AWS engineering contractor, Tech Worm LLC): explicit prohibition on use of institutional client data in any AI/ML training, scoping of access to non-production environments by default, and contractual restrictions on data export from US AWS regions;
— Notification obligations requiring subprocessor notice of any data security incident affecting institutional data;
— Audit and review rights enabling Cursive to verify subprocessor compliance;
— Termination provisions requiring secure data deletion at engagement end.
For AWS, contractual provisions flow through the AWS Customer Agreement and applicable Service Terms, including the AWS Data Processing Addendum where relevant. Subprocessor agreements are reviewed annually per the Cursive Compliance Policy and Procedure Review Calendar.</t>
  </si>
  <si>
    <t>Cursive maintains an implemented third-party management strategy per the Cursive Vendor Management Policy. Strategy components include:
— Documented vendor selection criteria emphasizing third-party attestations, security posture, regulatory alignment, and data handling commitments;
— Direct engagement with primary infrastructure providers (notably AWS) for tooling, security, and operational decisions, ensuring Cursive is positioned to leverage current best practices;
— Tiered vendor categorization: critical infrastructure subprocessors (AWS), data-adjacent subprocessors (offshore engineering teams with code/staging access), operational subprocessors (Google Workspace, GitHub, Linear, Bitwarden, KnowBe4, Checkr, The Hanover);
— Annual review of all subprocessors for continued alignment with Cursive's security and operational requirements per the Cursive Compliance Policy and Procedure Review Calendar;
— Proactive monitoring of supply chain tool updates and long-term support plans;
— Documented offboarding procedures for subprocessor termination including credential revocation, data return/deletion verification, and access audit;
— Inventory management with proactive monitoring of technology suite to ensure long lead times for any discontinued or deprecated products.</t>
  </si>
  <si>
    <t xml:space="preserve">Cursive is a SaaS solution and does not operate a hardware supply chain in the relevant sense (no telecommunications equipment manufacturing or distribution, no physical computing device sourcing for institutional use, no export-licensed hardware, no physical product fulfillment). Cursive staff and contractor workstations are commercial off-the-shelf devices procured through standard retail channels; AWS-managed infrastructure underlies all production hosting and operates under AWS's hardware supply chain controls (which Cursive inherits). Hardware supply chain risk for institutional engagements is therefore inherited from AWS rather than managed directly by Cursive.
</t>
  </si>
  <si>
    <t>Partly - Breach liability provisions vary by subprocessor based on the engagement scope and contract maturity:
AWS (primary infrastructure subprocessor): Comprehensive breach notification and liability provisions are in place through the AWS Customer Agreement, AWS Service Terms, and AWS Data Processing Addendum. AWS commits to standard breach notification timelines and supports downstream institutional notification commitments. AWS-side breach liability is governed by AWS's standard contractual terms applicable to all AWS customers.
Offshore engineering subprocessors (Brain-Station 23, AWS engineering contractor, Tech Worm LLC): Engagement agreements include NDA, confidentiality, and data-use limitation provisions. Explicit data breach notification timelines and quantified liability allocation provisions specific to security incidents are not currently uniformly documented in these subprocessor agreements. Practical breach risk is materially limited by the access architecture — these subprocessors operate in code/staging environments via AWS IAM least-privilege scoping and do not have standing access to institutional production data — but the contractual liability framework for breach scenarios is recognized as an area requiring formalization.
Operational SaaS subprocessors (Google Workspace, GitHub, Linear, Bitwarden, KnowBe4, Checkr, The Hanover): Breach liability is governed by each provider's standard customer agreement and applicable Data Processing Addendum where institutional data could theoretically be implicated. These subprocessors do not have access to institutional production data; their contracts cover data Cursive directly stores with them (internal documentation, source code, etc.) rather than institutional pass-through data.</t>
  </si>
  <si>
    <t>Institutional customers are notified of major changes to Cursive's environment that could impact security posture per the Cursive Policies and Procedures (Security Assessment &amp; Authorization). Notification is triggered by the Security Impact Analysis step in the change management process: when a planned change is determined to have material security impact for institutional customers, affected institutions are notified in advance with sufficient lead time to evaluate the change. Communication is delivered through the institutional point of contact and through release notes published as part of the deployment process per the Cursive SDLC.</t>
  </si>
  <si>
    <t>Client customizations are supported across releases. Cursive's API model is designed for backward compatibility — a single best-practice API serves all supported versions of the Cursive Moodle plugin and browser extension simultaneously, so institutional customizations and integrations remain functional across release cycles. Institution-specific configuration (LMS integration parameters, branding where applicable, contractual data handling settings) persists through plugin and extension updates without manual reconfiguration. Where client customizations require new API surface area, Cursive maintains backward compatibility for at least one full release cycle to support institutional migration.</t>
  </si>
  <si>
    <t>Cursive operates a system configuration management process per the Cursive Policies and Procedures. Configuration management leverages AWS-native tooling: AWS CloudFormation (and Terraform under the EKS rebuild) for Infrastructure as Code, providing reproducible "gold" infrastructure provisioning; AWS-provided pre-hardened components and AMIs (per DCTR-15); container images managed through standardized build pipelines with image scanning. AWS Config and AWS Systems Manager Parameter Store are being onboarded as part of the EKS rebuild to provide configuration drift detection and centralized configuration management. The Cursive Information System &amp; Baseline Configuration documentation captures the current configuration baseline.</t>
  </si>
  <si>
    <t>Cursive maintains a documented change management process per the Cursive SDLC and Cursive Policies and Procedures. The process flows through Triage → Backlog → To Do → In Progress → QA → Release → Done states, with approval gates and review steps at each transition. All changes are tracked in Linear with associated GitHub pull requests, providing a complete audit trail from ticket creation through production deployment.</t>
  </si>
  <si>
    <t>Cursive's change management process includes authorization (Founder/CEO approval for production-impacting changes), impact analysis (Security Impact Analysis evaluating each change for security and privacy implications per the Cursive Policies and Procedures), testing (developer-level unit testing, peer code review on pull requests, QA validation in staging environments), and validation before production deployment (final QA across all merged release-tagged tickets, smoke testing post-deployment). Failed deployments trigger rollback per documented procedures with re-validation before re-deployment.</t>
  </si>
  <si>
    <t>Third-party library and dependency support is verified through GitHub Dependabot, which monitors all production dependencies for end-of-life status, deprecation notices, and known vulnerabilities. Identified issues are tracked in the POAM and Linear ticket workflow with severity-based remediation timelines. Major release planning includes a dependency review step that validates each dependency's continued support, license compliance, and security posture before release.</t>
  </si>
  <si>
    <t>Critical patch management is governed by the Cursive Policies and Procedures. Severity-based remediation timelines: Critical risk within 7 days; High risk within 30 days; Medium risk within 60 days; Low risk within 90 days. AWS-managed services (EKS, RDS, S3) receive AWS-managed patches per AWS's published patching schedule, inheriting AWS's hardening cadence. Application-layer patches (dependency updates, security fixes to Cursive code) flow through the standard SDLC change management process with expedited review for critical-severity items. Patch deployment is logged through the standard change management audit trail.</t>
  </si>
  <si>
    <t>Compensating controls during patch windows are governed by the Plan of Action and Milestones (POAM) per the Cursive Policies and Procedures. When a security risk is identified but cannot be immediately remediated, interim mitigations are applied including: (1) AWS IAM access restriction to limit blast radius; (2) AWS Network Firewall rule updates to block known exploitation vectors where applicable; (3) feature-flag-based disablement of vulnerable functionality; (4) institutional customer notification where the risk affects institutional security posture; (5) configuration hardening to reduce attack surface. Risk acceptance for unresolved items beyond standard remediation timelines requires explicit Founder/CEO sign-off.</t>
  </si>
  <si>
    <t>Upgrade participation varies by deployment surface: (1) Moodle plugin upgrades are managed by the institution at the LMS layer — institutions control timing and version selection; (2) Browser extension upgrades follow the user's browser store update preference (auto-update by default, manually managed if the user disables auto-update at the browser level); (3) The Cursive API maintains backward compatibility across plugin and extension versions, providing a single best API compatible with all currently-supported plugin versions. This architecture means institutions are not forced into upgrade cycles on Cursive's timeline; institutional Moodle plugin upgrades happen on the institution's schedule.</t>
  </si>
  <si>
    <t>For Moodle plugin: Cursive supports the latest released Moodle version plus long-term support (LTS) versions per the Moodle.org release support policy. For browser extension: latest released version plus the prior major version while institutions migrate. For Cursive API: a single best-practice API is maintained that is backward-compatible across all supported plugin and extension versions. Concurrent version support is documented in the product release notes and communicated to institutional customers.</t>
  </si>
  <si>
    <t>Cursive maintains a release schedule for product updates per the Cursive SDLC. Standard cadence: feature updates released quarterly or more frequently as scoped by ticket priority; critical security updates released as needed within the Critical/High severity remediation timelines; deployment via OpenLMS partnership operates on a semi-annual cadence with additional layers of code review including Moodle CIP code review. Release notes accompany each production release, documenting changes, security implications where applicable, and any institutional action required.</t>
  </si>
  <si>
    <t>Cursive maintains an active technology roadmap covering at least the next two years of enhancements, bug fixes, and infrastructure work for TypeID. The roadmap is maintained in Linear and is updated continuously through regular product meetings, client feedback channels, and security/compliance work-driven priorities. Roadmap details are shareable with institutional customers under NDA on request, and major roadmap items affecting institutional security or operational posture are communicated through the institutional account channel.</t>
  </si>
  <si>
    <t>Solution update mechanisms vary by component to balance institutional control with timely security delivery: (1) Cursive API updates are deployed automatically by Cursive without institutional action required — backward compatibility ensures institutions remain functional across API updates; (2) Moodle plugin updates require manual installation by the institution's Moodle administrator, giving the institution full control over timing; (3) Browser extension updates follow the end user's browser auto-update preference, which is configurable. Critical security updates that require coordinated deployment are communicated to the institutional point of contact with sufficient lead time</t>
  </si>
  <si>
    <t xml:space="preserve">Production deployments are scheduled to minimize impact on institutional users. Standard practice: deployments are coordinated for off-peak hours relative to the predominant time zones of active institutional customers; major changes are scheduled with advance institutional notification; rolling deployments through AWS-managed services (EKS, RDS) provide zero-downtime or minimal-downtime upgrades for most release types. Deployment windows are communicated to institutional customers in advance for any change that could impact availability.
</t>
  </si>
  <si>
    <t>Cursive's systems management and configuration strategy covers all relevant asset categories per the Cursive Policies and Procedures:
Servers and cloud infrastructure: AWS-managed services (EKS, RDS, S3, Lambda, etc.) configured through Infrastructure as Code (CloudFormation, Terraform under the EKS rebuild), with AWS Config and Systems Manager Parameter Store onboarding as part of the EKS rebuild for centralized configuration management;
Applications: Cursive code repositories under GitHub Organization controls with branch protection, pull request review, and dependency monitoring;
Network appliances: AWS Network Firewall, AWS Security Groups, VPC configuration managed through Infrastructure as Code;
Cloud services: AWS service configuration managed centrally, with subprocessor SaaS tools (Google Workspace, Linear, GitHub, Bitwarden) configured through SSO + MFA-enforced administrative interfaces;
Employee workstations: endpoint protection strategy (Defender, Bitwarden, MFA, KnowBe4 training);
Mobile devices: Cursive does not currently issue or manage mobile devices for institutional service delivery; staff mobile devices used for productivity tools (Slack, Linear, Google Workspace mobile) are subject to MFA enforcement at the SSO layer.</t>
  </si>
  <si>
    <t>Emergency change procedures are documented in the Cursive Policies and Procedures (Configuration Management and Incident Response sections). Emergency changes (those required to address active security incidents, critical defects, or service-impacting issues outside the normal release schedule) are authorized by the Founder/CEO with after-the-fact documentation including: (1) ticket creation in Linear documenting the change rationale, scope, and timeline; (2) GitHub pull request with code review (compressed but not skipped) and audit trail; (3) deployment logs through standard CI/CD instrumentation; (4) post-incident review to validate that the emergency change addressed the underlying issue and to identify any process improvements. Authorization may be retroactive when the situation requires immediate action, but documentation is required in all cases.</t>
  </si>
  <si>
    <t>Cursive maintains a documented patch management process per the Cursive Policies and Procedures. Severity-based remediation timelines (Critical: 7 days; High: 30 days; Medium: 60 days; Low: 90 days) govern patch prioritization. AWS-managed services (EKS, RDS, S3) inherit AWS's patching cadence; application-layer patches and dependency updates flow through the standard SDLC change management process with Dependabot-driven dependency monitoring. All patch deployments are tracked in Linear with associated GitHub pull requests for audit trail.</t>
  </si>
  <si>
    <t>Cursive will comply with institutional policies on privacy and data protection as agreed in the master services agreement and any applicable Data Processing Agreement. Institution-specific privacy and data protection requirements can be incorporated through contract addenda. Cursive's data minimization architecture (no name, email, or grade data collected; opaque LMS-issued UUIDs only; default de-identification) materially supports alignment with most institutional privacy policies without requiring custom configuration.</t>
  </si>
  <si>
    <t>Cursive is incorporated in Maryland, USA, and is subject to applicable US federal and state law including FERPA (when contracted as a school official), state privacy laws (Maryland PIPA, California CCPA/CPRA where applicable, and other state laws based on institutional location), state breach notification statutes, and applicable federal cybersecurity guidance. For institutional customers in other jurisdictions, Cursive will additionally comply with applicable local laws and regulations through contractual commitment, including PIPL for the existing Shanghai International Studies University engagement and GDPR for any future EU/UK engagements.</t>
  </si>
  <si>
    <t>Cursive uses open-standard encryption throughout: TLS 1.2+ for data in transit (with industry-standard cipher suites managed through AWS); AES-256 for data at rest (CNSA-approved); RSA and ECDSA for asymmetric cryptography where applicable; HMAC-SHA256 for token integrity (per the QR proof-of-authorship system and API authentication). Encryption is managed through AWS Key Management Service (KMS) using FIPS 140-2 Level 3 validated HSMs. Institutional contracts specifying particular open-standard encryption requirements (specific cipher suites, key sizes, etc.) can be accommodated through configuration.</t>
  </si>
  <si>
    <t>Cursive maintains a documented Software Development Lifecycle per the Cursive SDLC documentation. The SDLC defines: ticket lifecycle states (Triage → Backlog → To Do → In Progress → QA → Release → Done); approval gates and review steps at each transition; security and privacy review through Security Impact Analysis; testing and QA validation requirements; release management procedures. All work is tracked in Linear with associated GitHub pull requests. The SDLC is reviewed annually per the Cursive Compliance Policy and Procedure Review Calendar.</t>
  </si>
  <si>
    <t>Cursive performs background checks on all employees and on subprocessors with any access to Cursive infrastructure or institutional data flows. Background checks are conducted through Checkr (a SOC 2-compliant background check provider) or equivalent local services for international subprocessors. Checks include identity verification, criminal history (multi-state where applicable), and employment verification appropriate to the role. Background check completion is required before access provisioning to Cursive systems, AWS resources, or any infrastructure that could touch institutional data.</t>
  </si>
  <si>
    <t>New employees and subprocessors complete required agreements and policy reviews during onboarding per the Cursive Policies and Procedures. Onboarding documentation includes: Non-Disclosure Agreement; Information Security Policy acknowledgment; Privacy Policy acknowledgment; Acceptable Use Policy acknowledgment; FERPA 201 training completion (US Department of Education); KnowBe4 security awareness training enrollment. Acknowledgments are documented and retained per the Cursive Compliance Policy and Procedure Review Calendar. Annual policy re-acknowledgment is required.</t>
  </si>
  <si>
    <t>Cursive maintains a documented Information Security Policy as part of the Cursive Policies and Procedures. The policy covers access control, audit and accountability, awareness and training, configuration management, contingency planning, identification and authentication, incident response, maintenance, media protection, physical and environmental protection (inherited from AWS), planning, personnel security, risk assessment, security assessment and authorization, system and communications protection, and system and information integrity — broadly aligned with NIST 800-53 control family structure. The policy is reviewed annually per the Cursive Compliance Policy and Procedure Review Calendar and is shareable with institutional customers under NDA on request.</t>
  </si>
  <si>
    <t>Information security principles are designed into the product lifecycle through the Cursive SDLC. Security-by-design practices include: Security Impact Analysis as a standard step in change management; threat modeling for new features that touch institutional data flows; secure coding practices including input validation, schema enforcement, and authenticated APIs; data minimization architecture; default-deny privacy posture (no institutional data used in AI training without explicit contractual agreement); least-privilege access controls (AWS IAM) applied to all production systems. Targeting SOC 2 Type 2 attestation following AWS security certification work currently underway.</t>
  </si>
  <si>
    <t>Cursive will comply with applicable breach notification laws, including state breach notification statutes (Maryland PIPA, California CCPA, and other state laws based on the institutional location), FERPA breach notification expectations for institutional customers acting as school officials, GDPR Article 33/34 obligations for any future EU/UK engagements, and PIPL breach notification requirements for the existing SISU engagement and any future PRC engagements. Cursive's Incident Response Plan in the Cursive Policies and Procedures specifies notification within 24 hours of confirmed breach to affected institutional customers, with downstream end-user notification coordinated with the institution.</t>
  </si>
  <si>
    <t>Security awareness training is mandatory for all employees. Mandatory components: KnowBe4 training modules; FERPA 201 training; annual policy acknowledgment. Completion is required during onboarding and annually thereafter. Non-completion triggers access review per the Cursive Policies and Procedures.</t>
  </si>
  <si>
    <t>Cursive operates an information security awareness program for all employees per the Cursive Policies and Procedures. Awareness components: KnowBe4 training modules covering phishing, social engineering, credential hygiene, and incident response; FERPA 201 training (US Department of Education) completed during onboarding; annual review of the Cursive Information Security Policy; ongoing threat awareness communications driven by current threat intelligence and incident learnings. Completion is audited annually per the Cursive Compliance Policy and Procedure Review Calendar.</t>
  </si>
  <si>
    <t>Privileged account access lists are reviewed quarterly per the Cursive Policies and Procedures (Identification &amp; Authentication section). Review covers: AWS IAM privileged roles and group membership; GitHub Organization owner and admin roles; Linear administrative roles; Google Workspace administrative access; Bitwarden vault administrative access. Review verifies that each privileged account corresponds to an active business need, that least-privilege scoping remains appropriate, and that offboarded staff or terminated subprocessor engagements have had their privileged access revoked. Review outcomes are documented; access changes are made through the standard change management process with audit logging via AWS CloudTrail and equivalent provider audit logs.</t>
  </si>
  <si>
    <t>Cursive maintains a documented strategy for securing employee workstations in remote work environments per the Cursive Policies and Procedures (Endpoint Protection section):
Endpoint protection: Windows Defender / Windows Security at minimum, with commercial alternatives accepted for non-Windows devices.
Email protection by Cursive TypeID security (continuous-authentication-based attestation).
Bitwarden password management for all staff credentials, with MFA enforcement on the Bitwarden vault.
MFA enforced on all internal Cursive systems (AWS, GitHub, Linear, Google Workspace).
No standing access to production institutional data from any workstation; production access requires IAM-mediated authentication for each session.
Workstation operating systems and security software maintained at supported versions.
Annual privacy and security awareness training (KnowBe4 + FERPA 201) for all staff.</t>
  </si>
  <si>
    <t xml:space="preserve">Cursive does not operate physical facilities containing institutional data — all production hosting is on AWS-managed infrastructure, and Cursive operates as a fully remote organization with no physical office or data center. Physical security controls for institutional data are therefore inherited from AWS data center physical security, which includes 24x7 staffing, physical access controls, intrusion detection, video surveillance, and environmental protection — all documented in AWS's SOC 2 Type 2 reports and ISO 27001 attestation. For staff workstations, endpoint security and remote work practices are documented.
</t>
  </si>
  <si>
    <t>Cursive has documented and currently implemented internal audit processes per the Cursive Policies and Procedures (Audit &amp; Accountability section). Internal audit components include: annual review of all Cursive policies and procedures per the Compliance Policy and Procedure Review Calendar; quarterly review of privileged account access; ongoing review of POAM items and remediation progress; periodic configuration audits of AWS resources, GitHub repositories, and other production systems; review of subprocessor compliance with engagement terms. Internal audit findings drive POAM updates and Linear ticket creation for remediation.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</si>
</sst>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62" x14ac:knownFonts="1">
    <font>
      <sz val="12"/>
      <color indexed="8"/>
      <name val="Verdana"/>
    </font>
    <font>
      <sz val="12"/>
      <color theme="0"/>
      <name val="Verdana"/>
      <family val="2"/>
    </font>
    <font>
      <b/>
      <sz val="20"/>
      <color theme="0"/>
      <name val="Verdana"/>
      <family val="2"/>
    </font>
    <font>
      <b/>
      <sz val="14"/>
      <color theme="1"/>
      <name val="Verdana"/>
      <family val="2"/>
    </font>
    <font>
      <sz val="11"/>
      <color indexed="8"/>
      <name val="Verdana"/>
      <family val="2"/>
    </font>
    <font>
      <b/>
      <sz val="12"/>
      <color theme="0"/>
      <name val="Verdana"/>
      <family val="2"/>
    </font>
    <font>
      <b/>
      <sz val="11"/>
      <color rgb="FF000000"/>
      <name val="Verdana"/>
      <family val="2"/>
    </font>
    <font>
      <sz val="11"/>
      <color rgb="FF000000"/>
      <name val="Verdana"/>
      <family val="2"/>
    </font>
    <font>
      <sz val="10"/>
      <color rgb="FF000000"/>
      <name val="Aptos Narrow"/>
      <family val="2"/>
      <scheme val="minor"/>
    </font>
    <font>
      <b/>
      <sz val="11"/>
      <color rgb="FF000000"/>
      <name val="Arial"/>
      <family val="2"/>
    </font>
    <font>
      <sz val="11"/>
      <color rgb="FF000000"/>
      <name val="Arial"/>
      <family val="2"/>
    </font>
    <font>
      <sz val="11"/>
      <color theme="1"/>
      <name val="Arial"/>
      <family val="2"/>
    </font>
    <font>
      <sz val="10"/>
      <color theme="1"/>
      <name val="Aptos Narrow"/>
      <family val="2"/>
      <scheme val="minor"/>
    </font>
    <font>
      <b/>
      <sz val="10"/>
      <color theme="1"/>
      <name val="Aptos Narrow"/>
      <family val="2"/>
      <scheme val="minor"/>
    </font>
    <font>
      <sz val="12"/>
      <color theme="1"/>
      <name val="Verdana"/>
      <family val="2"/>
    </font>
    <font>
      <b/>
      <sz val="11"/>
      <color rgb="FFFF0000"/>
      <name val="Verdana"/>
      <family val="2"/>
    </font>
    <font>
      <sz val="11"/>
      <color theme="1"/>
      <name val="Verdana"/>
      <family val="2"/>
    </font>
    <font>
      <b/>
      <sz val="12"/>
      <color theme="1"/>
      <name val="Verdana"/>
      <family val="2"/>
    </font>
    <font>
      <i/>
      <sz val="12"/>
      <color theme="1"/>
      <name val="Verdana"/>
      <family val="2"/>
    </font>
    <font>
      <b/>
      <sz val="14"/>
      <color theme="0"/>
      <name val="Verdana"/>
      <family val="2"/>
    </font>
    <font>
      <b/>
      <sz val="14"/>
      <color rgb="FFFF0000"/>
      <name val="Verdana"/>
      <family val="2"/>
    </font>
    <font>
      <i/>
      <sz val="11"/>
      <color theme="1"/>
      <name val="Verdana"/>
      <family val="2"/>
    </font>
    <font>
      <sz val="12"/>
      <color indexed="8"/>
      <name val="Verdana"/>
      <family val="2"/>
    </font>
    <font>
      <b/>
      <sz val="12"/>
      <color rgb="FF000000"/>
      <name val="Verdana"/>
      <family val="2"/>
    </font>
    <font>
      <b/>
      <sz val="12"/>
      <color indexed="8"/>
      <name val="Verdana"/>
      <family val="2"/>
    </font>
    <font>
      <u/>
      <sz val="12"/>
      <color theme="10"/>
      <name val="Verdana"/>
      <family val="2"/>
    </font>
    <font>
      <sz val="8"/>
      <name val="Verdana"/>
      <family val="2"/>
    </font>
    <font>
      <b/>
      <sz val="11"/>
      <color rgb="FF000000"/>
      <name val="Arial"/>
      <family val="2"/>
    </font>
    <font>
      <sz val="11"/>
      <name val="Verdana"/>
      <family val="2"/>
    </font>
    <font>
      <b/>
      <sz val="20"/>
      <name val="Verdana"/>
      <family val="2"/>
    </font>
    <font>
      <b/>
      <sz val="12"/>
      <name val="Verdana"/>
      <family val="2"/>
    </font>
    <font>
      <sz val="8"/>
      <name val="Verdana"/>
      <family val="2"/>
    </font>
    <font>
      <sz val="12"/>
      <color rgb="FFFF0000"/>
      <name val="Verdana"/>
      <family val="2"/>
    </font>
    <font>
      <sz val="11"/>
      <color theme="0"/>
      <name val="Verdana"/>
      <family val="2"/>
    </font>
    <font>
      <b/>
      <sz val="10"/>
      <color rgb="FF000000"/>
      <name val="Aptos Narrow"/>
      <family val="2"/>
      <scheme val="minor"/>
    </font>
    <font>
      <b/>
      <i/>
      <sz val="10"/>
      <color rgb="FF000000"/>
      <name val="Aptos Narrow"/>
      <family val="2"/>
      <scheme val="minor"/>
    </font>
    <font>
      <sz val="11"/>
      <color indexed="8"/>
      <name val="Arial"/>
      <family val="2"/>
    </font>
    <font>
      <u/>
      <sz val="12"/>
      <color theme="0"/>
      <name val="Verdana"/>
      <family val="2"/>
    </font>
    <font>
      <b/>
      <sz val="11"/>
      <color indexed="8"/>
      <name val="Arial"/>
      <family val="2"/>
    </font>
    <font>
      <b/>
      <i/>
      <sz val="14"/>
      <color theme="0"/>
      <name val="Verdana"/>
      <family val="2"/>
    </font>
    <font>
      <sz val="11"/>
      <color rgb="FFBF0000"/>
      <name val="Verdana"/>
      <family val="2"/>
    </font>
    <font>
      <b/>
      <i/>
      <sz val="20"/>
      <color theme="0"/>
      <name val="Verdana"/>
      <family val="2"/>
    </font>
    <font>
      <sz val="12"/>
      <name val="Verdana"/>
      <family val="2"/>
    </font>
    <font>
      <b/>
      <sz val="14"/>
      <name val="Verdana"/>
      <family val="2"/>
    </font>
    <font>
      <b/>
      <i/>
      <sz val="12"/>
      <color rgb="FF000000"/>
      <name val="Verdana"/>
      <family val="2"/>
    </font>
    <font>
      <b/>
      <i/>
      <sz val="12"/>
      <color indexed="8"/>
      <name val="Verdana"/>
      <family val="2"/>
    </font>
    <font>
      <b/>
      <sz val="11"/>
      <color theme="0"/>
      <name val="Verdana"/>
      <family val="2"/>
    </font>
    <font>
      <b/>
      <sz val="11"/>
      <name val="Verdana"/>
      <family val="2"/>
    </font>
    <font>
      <i/>
      <sz val="11"/>
      <color rgb="FF000000"/>
      <name val="Verdana"/>
      <family val="2"/>
    </font>
    <font>
      <sz val="11"/>
      <color rgb="FFFF0000"/>
      <name val="Arial"/>
      <family val="2"/>
    </font>
    <font>
      <sz val="10"/>
      <color theme="0"/>
      <name val="Aptos Narrow"/>
      <family val="2"/>
      <scheme val="minor"/>
    </font>
    <font>
      <b/>
      <i/>
      <sz val="14"/>
      <color rgb="FFFF0000"/>
      <name val="Verdana"/>
      <family val="2"/>
    </font>
    <font>
      <i/>
      <sz val="11"/>
      <color indexed="8"/>
      <name val="Verdana"/>
      <family val="2"/>
    </font>
    <font>
      <i/>
      <sz val="11"/>
      <name val="Verdana"/>
      <family val="2"/>
    </font>
    <font>
      <b/>
      <sz val="14"/>
      <color rgb="FF000000"/>
      <name val="Verdana"/>
      <family val="2"/>
    </font>
    <font>
      <b/>
      <i/>
      <sz val="11"/>
      <color theme="1"/>
      <name val="Verdana"/>
      <family val="2"/>
    </font>
    <font>
      <sz val="12"/>
      <color rgb="FFC00000"/>
      <name val="Verdana"/>
      <family val="2"/>
    </font>
    <font>
      <b/>
      <sz val="14"/>
      <color rgb="FFC00000"/>
      <name val="Verdana"/>
      <family val="2"/>
    </font>
    <font>
      <u/>
      <sz val="12"/>
      <color rgb="FFC00000"/>
      <name val="Verdana"/>
      <family val="2"/>
    </font>
    <font>
      <sz val="10"/>
      <color indexed="8"/>
      <name val="Arial"/>
      <family val="2"/>
    </font>
    <font>
      <sz val="11"/>
      <color rgb="FF1A1A1A"/>
      <name val="Arial"/>
      <family val="2"/>
    </font>
    <font>
      <sz val="10"/>
      <name val="Aptos Narrow"/>
      <family val="2"/>
      <scheme val="minor"/>
    </font>
  </fonts>
  <fills count="2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
      <patternFill patternType="solid">
        <fgColor rgb="FFD9EAD3"/>
        <bgColor rgb="FFD9EAD3"/>
      </patternFill>
    </fill>
    <fill>
      <patternFill patternType="solid">
        <fgColor theme="7" tint="0.79998168889431442"/>
        <bgColor indexed="64"/>
      </patternFill>
    </fill>
    <fill>
      <patternFill patternType="solid">
        <fgColor rgb="FFE6B8AF"/>
        <bgColor rgb="FFE6B8AF"/>
      </patternFill>
    </fill>
    <fill>
      <patternFill patternType="solid">
        <fgColor rgb="FFB7E1CD"/>
        <bgColor rgb="FFB7E1CD"/>
      </patternFill>
    </fill>
    <fill>
      <patternFill patternType="solid">
        <fgColor rgb="FFD9D2E9"/>
        <bgColor rgb="FFD9D2E9"/>
      </patternFill>
    </fill>
    <fill>
      <patternFill patternType="solid">
        <fgColor theme="0"/>
        <bgColor indexed="64"/>
      </patternFill>
    </fill>
    <fill>
      <patternFill patternType="solid">
        <fgColor rgb="FFFFFFFF"/>
        <bgColor indexed="64"/>
      </patternFill>
    </fill>
    <fill>
      <patternFill patternType="solid">
        <fgColor theme="3" tint="0.749992370372631"/>
        <bgColor indexed="64"/>
      </patternFill>
    </fill>
    <fill>
      <patternFill patternType="solid">
        <fgColor theme="3" tint="0.749992370372631"/>
        <bgColor rgb="FFD9EAD3"/>
      </patternFill>
    </fill>
    <fill>
      <patternFill patternType="solid">
        <fgColor theme="3" tint="0.749992370372631"/>
        <bgColor rgb="FFD9D2E9"/>
      </patternFill>
    </fill>
    <fill>
      <patternFill patternType="solid">
        <fgColor theme="8" tint="0.79998168889431442"/>
        <bgColor rgb="FFD9D2E9"/>
      </patternFill>
    </fill>
    <fill>
      <patternFill patternType="solid">
        <fgColor rgb="FFD0DAF0"/>
        <bgColor indexed="64"/>
      </patternFill>
    </fill>
    <fill>
      <patternFill patternType="solid">
        <fgColor rgb="FF00636C"/>
        <bgColor indexed="64"/>
      </patternFill>
    </fill>
    <fill>
      <patternFill patternType="solid">
        <fgColor rgb="FFE0B233"/>
        <bgColor indexed="64"/>
      </patternFill>
    </fill>
    <fill>
      <patternFill patternType="solid">
        <fgColor rgb="FF7ECCA0"/>
        <bgColor indexed="64"/>
      </patternFill>
    </fill>
    <fill>
      <patternFill patternType="solid">
        <fgColor rgb="FF4C6BB3"/>
        <bgColor indexed="64"/>
      </patternFill>
    </fill>
    <fill>
      <patternFill patternType="solid">
        <fgColor rgb="FFE0B233"/>
        <bgColor theme="4"/>
      </patternFill>
    </fill>
    <fill>
      <patternFill patternType="solid">
        <fgColor rgb="FFFDEEC5"/>
        <bgColor indexed="64"/>
      </patternFill>
    </fill>
    <fill>
      <patternFill patternType="solid">
        <fgColor rgb="FFBF000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5" tint="0.79998168889431442"/>
        <bgColor indexed="64"/>
      </patternFill>
    </fill>
  </fills>
  <borders count="5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auto="1"/>
      </top>
      <bottom style="thin">
        <color auto="1"/>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diagonal/>
    </border>
    <border>
      <left style="medium">
        <color indexed="64"/>
      </left>
      <right style="thin">
        <color auto="1"/>
      </right>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diagonal/>
    </border>
    <border>
      <left/>
      <right style="thin">
        <color auto="1"/>
      </right>
      <top/>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bottom style="medium">
        <color indexed="64"/>
      </bottom>
      <diagonal/>
    </border>
    <border>
      <left style="thin">
        <color auto="1"/>
      </left>
      <right/>
      <top style="thin">
        <color auto="1"/>
      </top>
      <bottom/>
      <diagonal/>
    </border>
    <border>
      <left/>
      <right style="thin">
        <color indexed="64"/>
      </right>
      <top style="thin">
        <color indexed="64"/>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applyNumberFormat="0" applyFill="0" applyBorder="0" applyProtection="0">
      <alignment vertical="top" wrapText="1"/>
    </xf>
    <xf numFmtId="0" fontId="8" fillId="0" borderId="0"/>
    <xf numFmtId="0" fontId="25" fillId="0" borderId="0" applyNumberFormat="0" applyFill="0" applyBorder="0" applyAlignment="0" applyProtection="0">
      <alignment vertical="top" wrapText="1"/>
    </xf>
    <xf numFmtId="0" fontId="22" fillId="0" borderId="0" applyNumberFormat="0" applyFill="0" applyBorder="0" applyProtection="0">
      <alignment vertical="top" wrapText="1"/>
    </xf>
  </cellStyleXfs>
  <cellXfs count="371">
    <xf numFmtId="0" fontId="0" fillId="0" borderId="0" xfId="0">
      <alignment vertical="top" wrapText="1"/>
    </xf>
    <xf numFmtId="0" fontId="4" fillId="0" borderId="0" xfId="0" applyNumberFormat="1" applyFont="1" applyAlignment="1"/>
    <xf numFmtId="0" fontId="8" fillId="0" borderId="0" xfId="1" applyAlignment="1">
      <alignment vertical="top" wrapText="1"/>
    </xf>
    <xf numFmtId="0" fontId="11" fillId="0" borderId="0" xfId="1" applyFont="1" applyAlignment="1">
      <alignment vertical="top" wrapText="1"/>
    </xf>
    <xf numFmtId="0" fontId="10" fillId="0" borderId="0" xfId="1" applyFont="1" applyAlignment="1">
      <alignment vertical="top" wrapText="1"/>
    </xf>
    <xf numFmtId="0" fontId="8" fillId="0" borderId="0" xfId="1"/>
    <xf numFmtId="0" fontId="12" fillId="0" borderId="0" xfId="1" applyFont="1"/>
    <xf numFmtId="0" fontId="13" fillId="0" borderId="0" xfId="1" applyFont="1"/>
    <xf numFmtId="0" fontId="4" fillId="0" borderId="0" xfId="0" applyNumberFormat="1" applyFont="1" applyAlignment="1">
      <alignment horizontal="center" vertical="center"/>
    </xf>
    <xf numFmtId="0" fontId="4" fillId="0" borderId="0" xfId="0" applyNumberFormat="1" applyFont="1" applyAlignment="1">
      <alignment wrapText="1"/>
    </xf>
    <xf numFmtId="0" fontId="15" fillId="0" borderId="0" xfId="0" applyNumberFormat="1" applyFont="1" applyBorder="1" applyAlignment="1">
      <alignment wrapText="1"/>
    </xf>
    <xf numFmtId="0" fontId="19" fillId="3" borderId="5" xfId="0" applyNumberFormat="1" applyFont="1" applyFill="1" applyBorder="1" applyAlignment="1">
      <alignment vertical="center"/>
    </xf>
    <xf numFmtId="0" fontId="19" fillId="3" borderId="3" xfId="0" applyNumberFormat="1" applyFont="1" applyFill="1" applyBorder="1" applyAlignment="1">
      <alignment vertical="center"/>
    </xf>
    <xf numFmtId="0" fontId="19" fillId="3" borderId="5" xfId="0" applyNumberFormat="1" applyFont="1" applyFill="1" applyBorder="1" applyAlignment="1">
      <alignment horizontal="center" vertical="center" wrapText="1"/>
    </xf>
    <xf numFmtId="1" fontId="19" fillId="3" borderId="5" xfId="0" applyNumberFormat="1" applyFont="1" applyFill="1" applyBorder="1" applyAlignment="1">
      <alignment horizontal="left" vertical="center" wrapText="1"/>
    </xf>
    <xf numFmtId="1" fontId="20" fillId="3" borderId="5" xfId="0" applyNumberFormat="1" applyFont="1" applyFill="1" applyBorder="1" applyAlignment="1">
      <alignment horizontal="left" vertical="center" wrapText="1"/>
    </xf>
    <xf numFmtId="0" fontId="14" fillId="4" borderId="0" xfId="0" applyNumberFormat="1" applyFont="1" applyFill="1" applyBorder="1" applyAlignment="1">
      <alignment vertical="center"/>
    </xf>
    <xf numFmtId="1" fontId="20" fillId="3" borderId="3" xfId="0" applyNumberFormat="1" applyFont="1" applyFill="1" applyBorder="1" applyAlignment="1">
      <alignment horizontal="left" vertical="center" wrapText="1"/>
    </xf>
    <xf numFmtId="0" fontId="16" fillId="2" borderId="7" xfId="0" applyNumberFormat="1" applyFont="1" applyFill="1" applyBorder="1" applyAlignment="1">
      <alignment horizontal="left" vertical="center" wrapText="1"/>
    </xf>
    <xf numFmtId="0" fontId="4" fillId="2" borderId="3" xfId="0" applyFont="1" applyFill="1" applyBorder="1" applyAlignment="1">
      <alignment vertical="center" wrapText="1"/>
    </xf>
    <xf numFmtId="0" fontId="16" fillId="2" borderId="3" xfId="0" applyNumberFormat="1" applyFont="1" applyFill="1" applyBorder="1" applyAlignment="1">
      <alignment horizontal="left" vertical="center" wrapText="1"/>
    </xf>
    <xf numFmtId="0" fontId="16" fillId="10" borderId="3" xfId="0" applyNumberFormat="1" applyFont="1" applyFill="1" applyBorder="1" applyAlignment="1">
      <alignment horizontal="center" vertical="center" wrapText="1"/>
    </xf>
    <xf numFmtId="0" fontId="19" fillId="3" borderId="2" xfId="0" applyNumberFormat="1" applyFont="1" applyFill="1" applyBorder="1" applyAlignment="1">
      <alignment vertical="center"/>
    </xf>
    <xf numFmtId="0" fontId="22" fillId="0" borderId="0" xfId="0" applyFont="1">
      <alignment vertical="top" wrapText="1"/>
    </xf>
    <xf numFmtId="0" fontId="3" fillId="2" borderId="0" xfId="0" applyNumberFormat="1" applyFont="1" applyFill="1" applyBorder="1" applyAlignment="1">
      <alignment vertical="center"/>
    </xf>
    <xf numFmtId="0" fontId="6" fillId="0" borderId="0" xfId="0" applyFont="1" applyFill="1" applyBorder="1" applyAlignment="1">
      <alignment vertical="center"/>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4" fillId="0" borderId="0" xfId="0" applyFont="1" applyAlignment="1">
      <alignment horizontal="center" vertical="center" wrapText="1"/>
    </xf>
    <xf numFmtId="0" fontId="22" fillId="0" borderId="14" xfId="0" applyFont="1" applyBorder="1" applyAlignment="1">
      <alignment horizontal="center" vertical="center" wrapText="1"/>
    </xf>
    <xf numFmtId="0" fontId="19" fillId="3" borderId="5" xfId="0" applyNumberFormat="1" applyFont="1" applyFill="1" applyBorder="1" applyAlignment="1">
      <alignment horizontal="center" vertical="center"/>
    </xf>
    <xf numFmtId="0" fontId="21" fillId="0" borderId="4" xfId="0" applyNumberFormat="1" applyFont="1" applyFill="1" applyBorder="1" applyAlignment="1">
      <alignment vertical="center" wrapText="1"/>
    </xf>
    <xf numFmtId="0" fontId="21" fillId="0" borderId="4" xfId="0" applyNumberFormat="1" applyFont="1" applyFill="1" applyBorder="1" applyAlignment="1">
      <alignment vertical="center"/>
    </xf>
    <xf numFmtId="0" fontId="22" fillId="0" borderId="3" xfId="0" applyFont="1" applyBorder="1" applyAlignment="1">
      <alignment vertical="center" wrapText="1"/>
    </xf>
    <xf numFmtId="0" fontId="28" fillId="0" borderId="0" xfId="0" applyNumberFormat="1" applyFont="1" applyAlignment="1"/>
    <xf numFmtId="164" fontId="18" fillId="10" borderId="4" xfId="0" applyNumberFormat="1" applyFont="1" applyFill="1" applyBorder="1" applyAlignment="1">
      <alignment horizontal="left" vertical="center"/>
    </xf>
    <xf numFmtId="0" fontId="17" fillId="2" borderId="1" xfId="0" applyNumberFormat="1" applyFont="1" applyFill="1" applyBorder="1" applyAlignment="1">
      <alignment vertical="center"/>
    </xf>
    <xf numFmtId="0" fontId="17" fillId="2" borderId="2" xfId="0" applyNumberFormat="1" applyFont="1" applyFill="1" applyBorder="1" applyAlignment="1">
      <alignment vertical="center"/>
    </xf>
    <xf numFmtId="0" fontId="28" fillId="11" borderId="3" xfId="0" applyFont="1" applyFill="1" applyBorder="1" applyAlignment="1">
      <alignment vertical="center" wrapText="1"/>
    </xf>
    <xf numFmtId="0" fontId="15" fillId="0" borderId="0" xfId="0" applyNumberFormat="1" applyFont="1" applyBorder="1" applyAlignment="1">
      <alignment vertical="center" wrapText="1"/>
    </xf>
    <xf numFmtId="0" fontId="4" fillId="0" borderId="0" xfId="0" applyNumberFormat="1" applyFont="1" applyAlignment="1">
      <alignment vertical="center"/>
    </xf>
    <xf numFmtId="0" fontId="17" fillId="4" borderId="0" xfId="0" applyNumberFormat="1" applyFont="1" applyFill="1" applyBorder="1" applyAlignment="1">
      <alignment vertical="center"/>
    </xf>
    <xf numFmtId="0" fontId="23"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2" fillId="0" borderId="15"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0" borderId="2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 xfId="0" applyNumberFormat="1" applyFont="1" applyBorder="1" applyAlignment="1"/>
    <xf numFmtId="0" fontId="1" fillId="0" borderId="0" xfId="3" applyFont="1" applyAlignment="1">
      <alignment vertical="top" shrinkToFit="1"/>
    </xf>
    <xf numFmtId="0" fontId="4" fillId="0" borderId="0" xfId="3" applyNumberFormat="1" applyFont="1" applyAlignment="1"/>
    <xf numFmtId="0" fontId="4" fillId="0" borderId="0" xfId="3" applyNumberFormat="1" applyFont="1" applyAlignment="1">
      <alignment horizontal="center" vertical="center"/>
    </xf>
    <xf numFmtId="0" fontId="4" fillId="0" borderId="0" xfId="3" applyNumberFormat="1" applyFont="1" applyAlignment="1">
      <alignment wrapText="1"/>
    </xf>
    <xf numFmtId="0" fontId="22" fillId="0" borderId="0" xfId="3">
      <alignment vertical="top" wrapText="1"/>
    </xf>
    <xf numFmtId="0" fontId="19" fillId="3" borderId="3" xfId="3" applyNumberFormat="1" applyFont="1" applyFill="1" applyBorder="1" applyAlignment="1">
      <alignment horizontal="center" vertical="center" wrapText="1"/>
    </xf>
    <xf numFmtId="0" fontId="16" fillId="2" borderId="3" xfId="3" applyNumberFormat="1" applyFont="1" applyFill="1" applyBorder="1" applyAlignment="1">
      <alignment vertical="center" wrapText="1"/>
    </xf>
    <xf numFmtId="0" fontId="1" fillId="0" borderId="0" xfId="3" applyFont="1" applyFill="1" applyAlignment="1">
      <alignment vertical="top" shrinkToFit="1"/>
    </xf>
    <xf numFmtId="0" fontId="22" fillId="0" borderId="0" xfId="3" applyAlignment="1">
      <alignment horizontal="left" vertical="center" wrapText="1"/>
    </xf>
    <xf numFmtId="0" fontId="22" fillId="0" borderId="0" xfId="3" applyFill="1">
      <alignment vertical="top" wrapText="1"/>
    </xf>
    <xf numFmtId="0" fontId="14" fillId="4" borderId="0" xfId="3" applyNumberFormat="1" applyFont="1" applyFill="1" applyBorder="1" applyAlignment="1">
      <alignment horizontal="left" vertical="center" wrapText="1"/>
    </xf>
    <xf numFmtId="0" fontId="8" fillId="0" borderId="0" xfId="1" applyAlignment="1">
      <alignment horizontal="center"/>
    </xf>
    <xf numFmtId="0" fontId="19" fillId="3" borderId="3" xfId="3" applyNumberFormat="1" applyFont="1" applyFill="1" applyBorder="1" applyAlignment="1">
      <alignment vertical="center"/>
    </xf>
    <xf numFmtId="0" fontId="16" fillId="2" borderId="3" xfId="3" applyNumberFormat="1" applyFont="1" applyFill="1" applyBorder="1" applyAlignment="1">
      <alignment vertical="center"/>
    </xf>
    <xf numFmtId="0" fontId="3" fillId="2" borderId="0" xfId="3" applyNumberFormat="1" applyFont="1" applyFill="1" applyBorder="1" applyAlignment="1">
      <alignment vertical="center"/>
    </xf>
    <xf numFmtId="164" fontId="18" fillId="10" borderId="1" xfId="0" applyNumberFormat="1" applyFont="1" applyFill="1" applyBorder="1" applyAlignment="1">
      <alignment horizontal="center" vertical="center"/>
    </xf>
    <xf numFmtId="0" fontId="14" fillId="4" borderId="0" xfId="0" applyNumberFormat="1" applyFont="1" applyFill="1" applyBorder="1" applyAlignment="1">
      <alignment horizontal="center" vertical="center"/>
    </xf>
    <xf numFmtId="0" fontId="21" fillId="0" borderId="1"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4" fillId="0" borderId="0" xfId="0" applyNumberFormat="1" applyFont="1" applyAlignment="1">
      <alignment horizontal="center" wrapText="1"/>
    </xf>
    <xf numFmtId="0" fontId="28" fillId="0" borderId="1"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22" fillId="0" borderId="15" xfId="0" applyFont="1" applyBorder="1" applyAlignment="1">
      <alignment horizontal="center" vertical="center" wrapText="1"/>
    </xf>
    <xf numFmtId="0" fontId="21" fillId="0" borderId="1" xfId="0" applyNumberFormat="1" applyFont="1" applyFill="1" applyBorder="1" applyAlignment="1">
      <alignment horizontal="left" vertical="center"/>
    </xf>
    <xf numFmtId="0" fontId="28" fillId="0" borderId="1" xfId="0" applyNumberFormat="1" applyFont="1" applyFill="1" applyBorder="1" applyAlignment="1">
      <alignment horizontal="left" vertical="center"/>
    </xf>
    <xf numFmtId="0" fontId="17" fillId="2" borderId="4" xfId="0" applyNumberFormat="1" applyFont="1" applyFill="1" applyBorder="1" applyAlignment="1">
      <alignment vertical="center"/>
    </xf>
    <xf numFmtId="0" fontId="16" fillId="2" borderId="1" xfId="0" applyNumberFormat="1" applyFont="1" applyFill="1" applyBorder="1" applyAlignment="1">
      <alignment horizontal="left" vertical="center" wrapText="1"/>
    </xf>
    <xf numFmtId="1" fontId="20" fillId="3" borderId="24" xfId="0" applyNumberFormat="1" applyFont="1" applyFill="1" applyBorder="1" applyAlignment="1">
      <alignment horizontal="left" vertical="center" wrapText="1"/>
    </xf>
    <xf numFmtId="9" fontId="6" fillId="2" borderId="28" xfId="3" applyNumberFormat="1" applyFont="1" applyFill="1" applyBorder="1" applyAlignment="1">
      <alignment horizontal="center" vertical="center" wrapText="1"/>
    </xf>
    <xf numFmtId="0" fontId="6" fillId="2" borderId="31" xfId="3" applyFont="1" applyFill="1" applyBorder="1" applyAlignment="1">
      <alignment horizontal="center" vertical="center" wrapText="1"/>
    </xf>
    <xf numFmtId="0" fontId="6" fillId="2" borderId="32" xfId="3" applyFont="1" applyFill="1" applyBorder="1" applyAlignment="1">
      <alignment horizontal="center" vertical="center" wrapText="1"/>
    </xf>
    <xf numFmtId="0" fontId="22" fillId="0" borderId="0" xfId="3" applyAlignment="1">
      <alignment vertical="center" wrapText="1"/>
    </xf>
    <xf numFmtId="0" fontId="7" fillId="0" borderId="33" xfId="3" applyFont="1" applyBorder="1" applyAlignment="1">
      <alignment vertical="center"/>
    </xf>
    <xf numFmtId="0" fontId="6" fillId="2" borderId="28" xfId="3" applyFont="1" applyFill="1" applyBorder="1" applyAlignment="1">
      <alignment horizontal="center" vertical="center" wrapText="1"/>
    </xf>
    <xf numFmtId="0" fontId="32" fillId="0" borderId="0" xfId="3" applyFont="1" applyAlignment="1">
      <alignment vertical="center" wrapText="1"/>
    </xf>
    <xf numFmtId="0" fontId="32" fillId="0" borderId="0" xfId="3" applyFont="1" applyAlignment="1">
      <alignment horizontal="center" vertical="center" wrapText="1"/>
    </xf>
    <xf numFmtId="0" fontId="4" fillId="0" borderId="0" xfId="3" applyFont="1" applyAlignment="1">
      <alignment vertical="center" wrapText="1"/>
    </xf>
    <xf numFmtId="0" fontId="6" fillId="0" borderId="0" xfId="3" applyFont="1" applyBorder="1" applyAlignment="1">
      <alignment vertical="center" wrapText="1"/>
    </xf>
    <xf numFmtId="0" fontId="7" fillId="0" borderId="0" xfId="3" applyFont="1" applyFill="1" applyBorder="1" applyAlignment="1">
      <alignment horizontal="left" vertical="center"/>
    </xf>
    <xf numFmtId="0" fontId="34" fillId="0" borderId="0" xfId="1" applyFont="1"/>
    <xf numFmtId="0" fontId="35" fillId="0" borderId="0" xfId="1" applyFont="1"/>
    <xf numFmtId="0" fontId="35" fillId="0" borderId="0" xfId="1" applyFont="1" applyAlignment="1">
      <alignment horizontal="center"/>
    </xf>
    <xf numFmtId="0" fontId="4" fillId="0" borderId="0" xfId="3" applyFont="1" applyBorder="1" applyAlignment="1">
      <alignment horizontal="left" vertical="center"/>
    </xf>
    <xf numFmtId="0" fontId="4" fillId="0" borderId="0" xfId="3" applyFont="1" applyBorder="1" applyAlignment="1">
      <alignment horizontal="left" vertical="center" wrapText="1"/>
    </xf>
    <xf numFmtId="0" fontId="4" fillId="0" borderId="4" xfId="3" applyFont="1" applyBorder="1" applyAlignment="1">
      <alignment horizontal="left" vertical="center"/>
    </xf>
    <xf numFmtId="0" fontId="3" fillId="2" borderId="0" xfId="3" applyNumberFormat="1" applyFont="1" applyFill="1" applyBorder="1" applyAlignment="1">
      <alignment horizontal="left" vertical="center"/>
    </xf>
    <xf numFmtId="0" fontId="19" fillId="3" borderId="9" xfId="3" applyNumberFormat="1" applyFont="1" applyFill="1" applyBorder="1" applyAlignment="1">
      <alignment horizontal="left" vertical="center"/>
    </xf>
    <xf numFmtId="0" fontId="19" fillId="3" borderId="0" xfId="3" applyNumberFormat="1" applyFont="1" applyFill="1" applyBorder="1" applyAlignment="1">
      <alignment horizontal="left" vertical="center"/>
    </xf>
    <xf numFmtId="0" fontId="0" fillId="0" borderId="0" xfId="0" applyBorder="1">
      <alignment vertical="top" wrapText="1"/>
    </xf>
    <xf numFmtId="0" fontId="9" fillId="12" borderId="0" xfId="1" applyFont="1" applyFill="1" applyAlignment="1">
      <alignment horizontal="center" vertical="center" wrapText="1"/>
    </xf>
    <xf numFmtId="0" fontId="9" fillId="13" borderId="0" xfId="1" applyFont="1" applyFill="1" applyAlignment="1">
      <alignment horizontal="center" vertical="center" wrapText="1"/>
    </xf>
    <xf numFmtId="0" fontId="27" fillId="13" borderId="0" xfId="1" applyFont="1" applyFill="1" applyAlignment="1">
      <alignment horizontal="center" vertical="center" wrapText="1"/>
    </xf>
    <xf numFmtId="0" fontId="27" fillId="14" borderId="0" xfId="1" applyFont="1" applyFill="1" applyAlignment="1">
      <alignment horizontal="center" vertical="center" wrapText="1"/>
    </xf>
    <xf numFmtId="0" fontId="9" fillId="14" borderId="0" xfId="1" applyFont="1" applyFill="1" applyAlignment="1">
      <alignment horizontal="center" vertical="center" wrapText="1"/>
    </xf>
    <xf numFmtId="0" fontId="36" fillId="0" borderId="0" xfId="0" applyFont="1" applyBorder="1">
      <alignment vertical="top" wrapText="1"/>
    </xf>
    <xf numFmtId="0" fontId="27" fillId="12" borderId="0" xfId="1" applyFont="1" applyFill="1" applyAlignment="1">
      <alignment horizontal="center" vertical="center" wrapText="1"/>
    </xf>
    <xf numFmtId="0" fontId="6" fillId="2" borderId="30" xfId="3" applyFont="1" applyFill="1" applyBorder="1" applyAlignment="1">
      <alignment horizontal="center" vertical="center" wrapText="1"/>
    </xf>
    <xf numFmtId="0" fontId="6" fillId="2" borderId="29" xfId="3" applyFont="1" applyFill="1" applyBorder="1" applyAlignment="1">
      <alignment horizontal="center" vertical="center" wrapText="1"/>
    </xf>
    <xf numFmtId="3" fontId="7" fillId="0" borderId="5" xfId="3" applyNumberFormat="1" applyFont="1" applyBorder="1" applyAlignment="1">
      <alignment horizontal="center" vertical="center" wrapText="1"/>
    </xf>
    <xf numFmtId="3" fontId="6" fillId="2" borderId="31" xfId="3" applyNumberFormat="1" applyFont="1" applyFill="1" applyBorder="1" applyAlignment="1">
      <alignment horizontal="center" vertical="center" wrapText="1"/>
    </xf>
    <xf numFmtId="0" fontId="6" fillId="10" borderId="32" xfId="3" applyFont="1" applyFill="1" applyBorder="1" applyAlignment="1">
      <alignment horizontal="left" vertical="center" wrapText="1"/>
    </xf>
    <xf numFmtId="0" fontId="6" fillId="10" borderId="29" xfId="3" applyFont="1" applyFill="1" applyBorder="1" applyAlignment="1">
      <alignment horizontal="center" vertical="center" wrapText="1"/>
    </xf>
    <xf numFmtId="3" fontId="6" fillId="10" borderId="31" xfId="3" applyNumberFormat="1" applyFont="1" applyFill="1" applyBorder="1" applyAlignment="1">
      <alignment horizontal="center" vertical="center" wrapText="1"/>
    </xf>
    <xf numFmtId="9" fontId="6" fillId="10" borderId="28" xfId="3" applyNumberFormat="1" applyFont="1" applyFill="1" applyBorder="1" applyAlignment="1">
      <alignment horizontal="center" vertical="center" wrapText="1"/>
    </xf>
    <xf numFmtId="0" fontId="7" fillId="0" borderId="23" xfId="3" applyFont="1" applyBorder="1" applyAlignment="1">
      <alignment vertical="center"/>
      <extLst>
        <ext xmlns:xfpb="http://schemas.microsoft.com/office/spreadsheetml/2022/featurepropertybag" uri="{C7286773-470A-42A8-94C5-96B5CB345126}">
          <xfpb:xfComplement i="0"/>
        </ext>
      </extLst>
    </xf>
    <xf numFmtId="3" fontId="7" fillId="0" borderId="7" xfId="3" applyNumberFormat="1" applyFont="1" applyBorder="1" applyAlignment="1">
      <alignment horizontal="center" vertical="center" wrapText="1"/>
    </xf>
    <xf numFmtId="0" fontId="22" fillId="0" borderId="4" xfId="3" applyBorder="1" applyAlignment="1">
      <alignment vertical="center" wrapText="1"/>
    </xf>
    <xf numFmtId="0" fontId="22" fillId="0" borderId="21" xfId="3" applyBorder="1" applyAlignment="1">
      <alignment vertical="center" wrapText="1"/>
    </xf>
    <xf numFmtId="0" fontId="22" fillId="0" borderId="6" xfId="3" applyBorder="1" applyAlignment="1">
      <alignment vertical="center" wrapText="1"/>
    </xf>
    <xf numFmtId="0" fontId="22" fillId="0" borderId="36" xfId="3" applyBorder="1" applyAlignment="1">
      <alignment vertical="center" wrapText="1"/>
    </xf>
    <xf numFmtId="0" fontId="22" fillId="0" borderId="37" xfId="3" applyBorder="1" applyAlignment="1">
      <alignment vertical="center" wrapText="1"/>
    </xf>
    <xf numFmtId="0" fontId="22" fillId="0" borderId="38" xfId="3" applyBorder="1" applyAlignment="1">
      <alignment vertical="center" wrapText="1"/>
    </xf>
    <xf numFmtId="0" fontId="6" fillId="2" borderId="11" xfId="3" applyFont="1" applyFill="1" applyBorder="1" applyAlignment="1">
      <alignment horizontal="center" vertical="center" wrapText="1"/>
    </xf>
    <xf numFmtId="0" fontId="6" fillId="2" borderId="27" xfId="3" applyFont="1" applyFill="1" applyBorder="1" applyAlignment="1">
      <alignment horizontal="center" vertical="center" wrapText="1"/>
    </xf>
    <xf numFmtId="0" fontId="6" fillId="2" borderId="26" xfId="3" applyFont="1" applyFill="1" applyBorder="1" applyAlignment="1">
      <alignment horizontal="center" vertical="center" wrapText="1"/>
    </xf>
    <xf numFmtId="9" fontId="6" fillId="2" borderId="11" xfId="3" applyNumberFormat="1" applyFont="1" applyFill="1" applyBorder="1" applyAlignment="1">
      <alignment horizontal="center" vertical="center" wrapText="1"/>
    </xf>
    <xf numFmtId="9" fontId="6" fillId="2" borderId="27" xfId="3" applyNumberFormat="1" applyFont="1" applyFill="1" applyBorder="1" applyAlignment="1">
      <alignment horizontal="center" vertical="center" wrapText="1"/>
    </xf>
    <xf numFmtId="9" fontId="6" fillId="2" borderId="26" xfId="3" applyNumberFormat="1" applyFont="1" applyFill="1" applyBorder="1" applyAlignment="1">
      <alignment horizontal="center" vertical="center" wrapText="1"/>
    </xf>
    <xf numFmtId="0" fontId="25" fillId="3" borderId="5" xfId="2" applyNumberFormat="1" applyFill="1" applyBorder="1" applyAlignment="1">
      <alignment horizontal="center" vertical="center"/>
    </xf>
    <xf numFmtId="0" fontId="37" fillId="3" borderId="5" xfId="2" applyNumberFormat="1" applyFont="1" applyFill="1" applyBorder="1" applyAlignment="1">
      <alignment horizontal="center" vertical="center"/>
    </xf>
    <xf numFmtId="0" fontId="33" fillId="0" borderId="0" xfId="3" applyFont="1" applyBorder="1" applyAlignment="1" applyProtection="1">
      <alignment vertical="center" shrinkToFit="1"/>
    </xf>
    <xf numFmtId="0" fontId="4" fillId="0" borderId="0" xfId="3" applyFont="1" applyBorder="1" applyAlignment="1">
      <alignment vertical="center" wrapText="1"/>
    </xf>
    <xf numFmtId="0" fontId="4" fillId="0" borderId="1" xfId="3" applyFont="1" applyBorder="1" applyAlignment="1">
      <alignment horizontal="left" vertical="center"/>
    </xf>
    <xf numFmtId="0" fontId="4" fillId="0" borderId="42" xfId="3" applyFont="1" applyBorder="1" applyAlignment="1">
      <alignment horizontal="left" vertical="center"/>
    </xf>
    <xf numFmtId="0" fontId="4" fillId="0" borderId="43" xfId="3" applyFont="1" applyBorder="1" applyAlignment="1">
      <alignment horizontal="left" vertical="center"/>
    </xf>
    <xf numFmtId="0" fontId="6" fillId="0" borderId="44" xfId="3" applyFont="1" applyBorder="1" applyAlignment="1">
      <alignment vertical="center" wrapText="1"/>
    </xf>
    <xf numFmtId="0" fontId="6" fillId="0" borderId="37" xfId="3" applyFont="1" applyBorder="1" applyAlignment="1">
      <alignment vertical="center" wrapText="1"/>
    </xf>
    <xf numFmtId="0" fontId="4" fillId="0" borderId="47" xfId="3" applyFont="1" applyBorder="1" applyAlignment="1">
      <alignment horizontal="left" vertical="center"/>
    </xf>
    <xf numFmtId="0" fontId="6" fillId="0" borderId="48" xfId="3" applyFont="1" applyBorder="1" applyAlignment="1">
      <alignment vertical="center" wrapText="1"/>
    </xf>
    <xf numFmtId="0" fontId="6" fillId="2" borderId="41" xfId="3" applyFont="1" applyFill="1" applyBorder="1" applyAlignment="1">
      <alignment vertical="center" wrapText="1"/>
    </xf>
    <xf numFmtId="0" fontId="6" fillId="2" borderId="2" xfId="3" applyFont="1" applyFill="1" applyBorder="1" applyAlignment="1">
      <alignment vertical="center" wrapText="1"/>
    </xf>
    <xf numFmtId="0" fontId="6" fillId="2" borderId="46" xfId="3" applyFont="1" applyFill="1" applyBorder="1" applyAlignment="1">
      <alignment vertical="center" wrapText="1"/>
    </xf>
    <xf numFmtId="9" fontId="7" fillId="10" borderId="3" xfId="3" applyNumberFormat="1" applyFont="1" applyFill="1" applyBorder="1" applyAlignment="1">
      <alignment horizontal="center" vertical="center" wrapText="1"/>
    </xf>
    <xf numFmtId="9" fontId="7" fillId="10" borderId="5" xfId="3" applyNumberFormat="1" applyFont="1" applyFill="1" applyBorder="1" applyAlignment="1">
      <alignment horizontal="center" vertical="center" wrapText="1"/>
    </xf>
    <xf numFmtId="0" fontId="7" fillId="0" borderId="35" xfId="3" applyFont="1" applyBorder="1" applyAlignment="1">
      <alignment vertical="center"/>
    </xf>
    <xf numFmtId="0" fontId="7" fillId="0" borderId="39" xfId="3" applyFont="1" applyBorder="1" applyAlignment="1">
      <alignment vertical="center"/>
      <extLst>
        <ext xmlns:xfpb="http://schemas.microsoft.com/office/spreadsheetml/2022/featurepropertybag" uri="{C7286773-470A-42A8-94C5-96B5CB345126}">
          <xfpb:xfComplement i="0"/>
        </ext>
      </extLst>
    </xf>
    <xf numFmtId="3" fontId="7" fillId="0" borderId="34" xfId="3" applyNumberFormat="1" applyFont="1" applyBorder="1" applyAlignment="1">
      <alignment horizontal="center" vertical="center" wrapText="1"/>
    </xf>
    <xf numFmtId="9" fontId="7" fillId="10" borderId="24" xfId="3" applyNumberFormat="1" applyFont="1" applyFill="1" applyBorder="1" applyAlignment="1">
      <alignment horizontal="center" vertical="center" wrapText="1"/>
    </xf>
    <xf numFmtId="3" fontId="7" fillId="0" borderId="3" xfId="3" applyNumberFormat="1" applyFont="1" applyBorder="1" applyAlignment="1">
      <alignment horizontal="center" vertical="center" wrapText="1"/>
    </xf>
    <xf numFmtId="0" fontId="22" fillId="0" borderId="49" xfId="0" applyFont="1" applyBorder="1" applyAlignment="1">
      <alignment horizontal="center" vertical="center" wrapText="1"/>
      <extLst>
        <ext xmlns:xfpb="http://schemas.microsoft.com/office/spreadsheetml/2022/featurepropertybag" uri="{C7286773-470A-42A8-94C5-96B5CB345126}">
          <xfpb:xfComplement i="0"/>
        </ext>
      </extLst>
    </xf>
    <xf numFmtId="0" fontId="19" fillId="3" borderId="34" xfId="0" applyNumberFormat="1" applyFont="1" applyFill="1" applyBorder="1" applyAlignment="1">
      <alignment horizontal="center" vertical="center"/>
    </xf>
    <xf numFmtId="0" fontId="22" fillId="0" borderId="51"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2" borderId="2" xfId="0" applyFont="1" applyFill="1" applyBorder="1" applyAlignment="1">
      <alignment vertical="center" wrapText="1"/>
    </xf>
    <xf numFmtId="0" fontId="6" fillId="2" borderId="40" xfId="3" applyFont="1" applyFill="1" applyBorder="1" applyAlignment="1">
      <alignment vertical="center"/>
    </xf>
    <xf numFmtId="0" fontId="6" fillId="2" borderId="16" xfId="3" applyFont="1" applyFill="1" applyBorder="1" applyAlignment="1">
      <alignment vertical="center"/>
    </xf>
    <xf numFmtId="0" fontId="6" fillId="2" borderId="45" xfId="3" applyFont="1" applyFill="1" applyBorder="1" applyAlignment="1">
      <alignment vertical="center"/>
    </xf>
    <xf numFmtId="0" fontId="27" fillId="15" borderId="0" xfId="1" applyFont="1" applyFill="1" applyAlignment="1">
      <alignment horizontal="center" vertical="center" wrapText="1"/>
    </xf>
    <xf numFmtId="0" fontId="38" fillId="0" borderId="11" xfId="0" applyFont="1" applyFill="1" applyBorder="1">
      <alignment vertical="top" wrapText="1"/>
    </xf>
    <xf numFmtId="0" fontId="38" fillId="0" borderId="27" xfId="0" applyFont="1" applyBorder="1">
      <alignment vertical="top" wrapText="1"/>
    </xf>
    <xf numFmtId="0" fontId="38" fillId="0" borderId="26" xfId="0" applyFont="1" applyFill="1" applyBorder="1">
      <alignment vertical="top" wrapText="1"/>
    </xf>
    <xf numFmtId="0" fontId="6" fillId="2" borderId="27" xfId="3" applyFont="1" applyFill="1" applyBorder="1" applyAlignment="1">
      <alignment vertical="center"/>
    </xf>
    <xf numFmtId="0" fontId="6" fillId="2" borderId="26" xfId="3" applyFont="1" applyFill="1" applyBorder="1" applyAlignment="1">
      <alignment vertical="center"/>
    </xf>
    <xf numFmtId="0" fontId="14" fillId="4" borderId="0" xfId="3" applyNumberFormat="1" applyFont="1" applyFill="1" applyBorder="1" applyAlignment="1">
      <alignment vertical="center"/>
    </xf>
    <xf numFmtId="0" fontId="22" fillId="3" borderId="10" xfId="3" applyFill="1" applyBorder="1">
      <alignment vertical="top" wrapText="1"/>
    </xf>
    <xf numFmtId="1" fontId="40" fillId="2" borderId="7" xfId="0" applyNumberFormat="1" applyFont="1" applyFill="1" applyBorder="1" applyAlignment="1">
      <alignment vertical="center" wrapText="1"/>
    </xf>
    <xf numFmtId="0" fontId="2" fillId="17" borderId="0" xfId="0" applyNumberFormat="1" applyFont="1" applyFill="1" applyBorder="1" applyAlignment="1">
      <alignment vertical="center"/>
    </xf>
    <xf numFmtId="0" fontId="2" fillId="17" borderId="0" xfId="0" applyNumberFormat="1" applyFont="1" applyFill="1" applyBorder="1" applyAlignment="1">
      <alignment horizontal="center" vertical="center"/>
    </xf>
    <xf numFmtId="0" fontId="5" fillId="17" borderId="0" xfId="0" applyNumberFormat="1" applyFont="1" applyFill="1" applyBorder="1" applyAlignment="1">
      <alignment horizontal="center" vertical="center" wrapText="1"/>
    </xf>
    <xf numFmtId="0" fontId="4" fillId="0" borderId="0" xfId="0" applyNumberFormat="1" applyFont="1" applyFill="1" applyAlignment="1"/>
    <xf numFmtId="0" fontId="28" fillId="0" borderId="0" xfId="0" applyNumberFormat="1" applyFont="1" applyFill="1" applyAlignment="1"/>
    <xf numFmtId="0" fontId="2" fillId="18" borderId="0" xfId="3" applyNumberFormat="1" applyFont="1" applyFill="1" applyBorder="1" applyAlignment="1">
      <alignment horizontal="left" vertical="center"/>
    </xf>
    <xf numFmtId="0" fontId="5" fillId="18" borderId="0" xfId="3" applyNumberFormat="1" applyFont="1" applyFill="1" applyBorder="1" applyAlignment="1">
      <alignment horizontal="center" vertical="center" wrapText="1"/>
    </xf>
    <xf numFmtId="0" fontId="29" fillId="18" borderId="0" xfId="0" applyNumberFormat="1" applyFont="1" applyFill="1" applyBorder="1" applyAlignment="1">
      <alignment vertical="center"/>
    </xf>
    <xf numFmtId="0" fontId="29" fillId="18" borderId="0" xfId="3" applyNumberFormat="1" applyFont="1" applyFill="1" applyBorder="1" applyAlignment="1">
      <alignment horizontal="left" vertical="center"/>
    </xf>
    <xf numFmtId="0" fontId="30" fillId="18" borderId="0" xfId="3" applyNumberFormat="1" applyFont="1" applyFill="1" applyBorder="1" applyAlignment="1">
      <alignment horizontal="center" vertical="center" wrapText="1"/>
    </xf>
    <xf numFmtId="0" fontId="42" fillId="0" borderId="0" xfId="3" applyFont="1">
      <alignment vertical="top" wrapText="1"/>
    </xf>
    <xf numFmtId="0" fontId="29" fillId="18" borderId="0" xfId="0" applyNumberFormat="1" applyFont="1" applyFill="1" applyBorder="1" applyAlignment="1">
      <alignment horizontal="center" vertical="center"/>
    </xf>
    <xf numFmtId="0" fontId="42" fillId="0" borderId="0" xfId="0" applyFont="1">
      <alignment vertical="top" wrapText="1"/>
    </xf>
    <xf numFmtId="0" fontId="29" fillId="19" borderId="0" xfId="3" applyNumberFormat="1" applyFont="1" applyFill="1" applyBorder="1" applyAlignment="1">
      <alignment vertical="center"/>
    </xf>
    <xf numFmtId="0" fontId="5" fillId="20" borderId="17" xfId="0" applyFont="1" applyFill="1" applyBorder="1" applyAlignment="1">
      <alignment vertical="center"/>
    </xf>
    <xf numFmtId="0" fontId="5" fillId="20" borderId="18" xfId="0" applyFont="1" applyFill="1" applyBorder="1" applyAlignment="1">
      <alignment vertical="center"/>
    </xf>
    <xf numFmtId="0" fontId="5" fillId="20" borderId="19" xfId="0" applyFont="1" applyFill="1" applyBorder="1" applyAlignment="1">
      <alignment vertical="center"/>
    </xf>
    <xf numFmtId="0" fontId="22" fillId="16" borderId="3"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43" fillId="21" borderId="10" xfId="0" applyFont="1" applyFill="1" applyBorder="1" applyAlignment="1">
      <alignment horizontal="center" vertical="center" wrapText="1"/>
    </xf>
    <xf numFmtId="0" fontId="22" fillId="22" borderId="8" xfId="0" applyFont="1" applyFill="1" applyBorder="1" applyAlignment="1">
      <alignment vertical="center" wrapText="1"/>
    </xf>
    <xf numFmtId="0" fontId="43" fillId="21" borderId="11" xfId="0" applyFont="1" applyFill="1" applyBorder="1" applyAlignment="1">
      <alignment horizontal="center" vertical="center" wrapText="1"/>
    </xf>
    <xf numFmtId="0" fontId="45" fillId="22" borderId="11" xfId="0" applyNumberFormat="1" applyFont="1" applyFill="1" applyBorder="1" applyAlignment="1">
      <alignment horizontal="center" vertical="center" wrapText="1"/>
    </xf>
    <xf numFmtId="0" fontId="44" fillId="22" borderId="11" xfId="0" applyNumberFormat="1" applyFont="1" applyFill="1" applyBorder="1" applyAlignment="1">
      <alignment horizontal="center" vertical="center" wrapText="1"/>
    </xf>
    <xf numFmtId="0" fontId="22" fillId="22" borderId="16" xfId="0" applyFont="1" applyFill="1" applyBorder="1" applyAlignment="1">
      <alignment vertical="center" wrapText="1"/>
    </xf>
    <xf numFmtId="0" fontId="22" fillId="22" borderId="50" xfId="0" applyFont="1" applyFill="1" applyBorder="1" applyAlignment="1">
      <alignment vertical="center" wrapText="1"/>
    </xf>
    <xf numFmtId="0" fontId="22" fillId="22" borderId="25" xfId="0" applyFont="1" applyFill="1" applyBorder="1" applyAlignment="1">
      <alignment vertical="center" wrapText="1"/>
    </xf>
    <xf numFmtId="0" fontId="22" fillId="22" borderId="16" xfId="0" applyFont="1" applyFill="1" applyBorder="1">
      <alignment vertical="top" wrapText="1"/>
    </xf>
    <xf numFmtId="0" fontId="4" fillId="0" borderId="39" xfId="0" applyNumberFormat="1" applyFont="1" applyBorder="1" applyAlignment="1">
      <alignment vertical="center"/>
    </xf>
    <xf numFmtId="0" fontId="5" fillId="17" borderId="39" xfId="0" applyNumberFormat="1" applyFont="1" applyFill="1" applyBorder="1" applyAlignment="1">
      <alignment horizontal="center" vertical="center" wrapText="1"/>
    </xf>
    <xf numFmtId="0" fontId="4" fillId="0" borderId="39" xfId="0" applyNumberFormat="1" applyFont="1" applyBorder="1" applyAlignment="1"/>
    <xf numFmtId="0" fontId="4" fillId="0" borderId="0" xfId="0" applyNumberFormat="1" applyFont="1" applyBorder="1" applyAlignment="1"/>
    <xf numFmtId="0" fontId="43" fillId="21" borderId="22" xfId="0" applyFont="1" applyFill="1" applyBorder="1" applyAlignment="1">
      <alignment horizontal="center" vertical="center" wrapText="1"/>
    </xf>
    <xf numFmtId="0" fontId="22" fillId="22" borderId="8" xfId="0" applyFont="1" applyFill="1" applyBorder="1">
      <alignment vertical="top" wrapText="1"/>
    </xf>
    <xf numFmtId="0" fontId="43" fillId="21" borderId="32" xfId="0" applyFont="1" applyFill="1" applyBorder="1" applyAlignment="1">
      <alignment horizontal="center" vertical="center" wrapText="1"/>
    </xf>
    <xf numFmtId="0" fontId="43" fillId="21" borderId="52" xfId="0" applyFont="1" applyFill="1" applyBorder="1" applyAlignment="1">
      <alignment horizontal="center" vertical="center" wrapText="1"/>
    </xf>
    <xf numFmtId="0" fontId="22" fillId="22" borderId="14" xfId="0" applyFont="1" applyFill="1" applyBorder="1" applyAlignment="1">
      <alignment vertical="center" wrapText="1"/>
    </xf>
    <xf numFmtId="0" fontId="22" fillId="3" borderId="0" xfId="3" applyFill="1" applyBorder="1">
      <alignment vertical="top" wrapText="1"/>
    </xf>
    <xf numFmtId="0" fontId="17" fillId="18" borderId="0" xfId="3" applyNumberFormat="1" applyFont="1" applyFill="1" applyBorder="1" applyAlignment="1">
      <alignment horizontal="center" vertical="center" wrapText="1"/>
    </xf>
    <xf numFmtId="0" fontId="46" fillId="3" borderId="34" xfId="0" applyNumberFormat="1" applyFont="1" applyFill="1" applyBorder="1" applyAlignment="1">
      <alignment horizontal="center" vertical="center"/>
    </xf>
    <xf numFmtId="0" fontId="47" fillId="21" borderId="35" xfId="0" applyFont="1" applyFill="1" applyBorder="1" applyAlignment="1">
      <alignment horizontal="center" vertical="center" wrapText="1"/>
    </xf>
    <xf numFmtId="0" fontId="0" fillId="0" borderId="3" xfId="0" applyBorder="1" applyAlignment="1">
      <alignment vertical="center" wrapText="1"/>
    </xf>
    <xf numFmtId="0" fontId="22" fillId="3" borderId="3" xfId="3" applyFill="1" applyBorder="1" applyAlignment="1">
      <alignment vertical="center" wrapText="1"/>
    </xf>
    <xf numFmtId="0" fontId="6" fillId="0" borderId="41" xfId="3" applyFont="1" applyBorder="1" applyAlignment="1">
      <alignment vertical="center" wrapText="1"/>
    </xf>
    <xf numFmtId="0" fontId="6" fillId="0" borderId="2" xfId="3" applyFont="1" applyBorder="1" applyAlignment="1">
      <alignment vertical="center" wrapText="1"/>
    </xf>
    <xf numFmtId="0" fontId="6" fillId="0" borderId="46" xfId="3" applyFont="1" applyBorder="1" applyAlignment="1">
      <alignment vertical="center" wrapText="1"/>
    </xf>
    <xf numFmtId="0" fontId="6" fillId="0" borderId="9" xfId="3" applyFont="1" applyBorder="1" applyAlignment="1">
      <alignment vertical="center" wrapText="1"/>
    </xf>
    <xf numFmtId="0" fontId="33" fillId="0" borderId="9" xfId="3" applyFont="1" applyBorder="1" applyAlignment="1" applyProtection="1">
      <alignment vertical="center" shrinkToFit="1"/>
    </xf>
    <xf numFmtId="0" fontId="8" fillId="0" borderId="0" xfId="1" applyAlignment="1">
      <alignment horizontal="left"/>
    </xf>
    <xf numFmtId="0" fontId="10" fillId="0" borderId="0" xfId="0" applyFont="1" applyAlignment="1">
      <alignment horizontal="left" vertical="center" wrapText="1" indent="1"/>
    </xf>
    <xf numFmtId="0" fontId="19" fillId="23" borderId="3" xfId="3" applyNumberFormat="1" applyFont="1" applyFill="1" applyBorder="1" applyAlignment="1">
      <alignment vertical="center"/>
    </xf>
    <xf numFmtId="0" fontId="19" fillId="23" borderId="2" xfId="0" applyNumberFormat="1" applyFont="1" applyFill="1" applyBorder="1" applyAlignment="1">
      <alignment vertical="center"/>
    </xf>
    <xf numFmtId="0" fontId="19" fillId="23" borderId="5" xfId="0" applyNumberFormat="1" applyFont="1" applyFill="1" applyBorder="1" applyAlignment="1">
      <alignment horizontal="center" vertical="center"/>
    </xf>
    <xf numFmtId="0" fontId="37" fillId="23" borderId="5" xfId="2" applyNumberFormat="1" applyFont="1" applyFill="1" applyBorder="1" applyAlignment="1">
      <alignment horizontal="center" vertical="center"/>
    </xf>
    <xf numFmtId="165" fontId="25" fillId="0" borderId="21" xfId="2" applyNumberFormat="1" applyBorder="1" applyAlignment="1">
      <alignment horizontal="left" vertical="center"/>
    </xf>
    <xf numFmtId="165" fontId="25" fillId="0" borderId="4" xfId="2" applyNumberFormat="1" applyBorder="1" applyAlignment="1">
      <alignment horizontal="left" vertical="center"/>
    </xf>
    <xf numFmtId="165" fontId="25" fillId="0" borderId="6" xfId="2" applyNumberFormat="1" applyBorder="1" applyAlignment="1">
      <alignment horizontal="left" vertical="center"/>
    </xf>
    <xf numFmtId="0" fontId="11" fillId="0" borderId="3" xfId="1" applyFont="1" applyBorder="1" applyAlignment="1">
      <alignment vertical="top" wrapText="1"/>
    </xf>
    <xf numFmtId="0" fontId="13" fillId="4" borderId="0" xfId="1" applyFont="1" applyFill="1" applyAlignment="1">
      <alignment horizontal="center"/>
    </xf>
    <xf numFmtId="0" fontId="8" fillId="4" borderId="0" xfId="1" applyFill="1" applyAlignment="1">
      <alignment horizontal="center"/>
    </xf>
    <xf numFmtId="0" fontId="13" fillId="4" borderId="0" xfId="1" applyFont="1" applyFill="1"/>
    <xf numFmtId="0" fontId="8" fillId="4" borderId="0" xfId="1" applyFill="1"/>
    <xf numFmtId="0" fontId="8" fillId="4" borderId="0" xfId="1" applyFill="1" applyAlignment="1">
      <alignment horizontal="left"/>
    </xf>
    <xf numFmtId="0" fontId="12" fillId="4" borderId="0" xfId="1" applyFont="1" applyFill="1"/>
    <xf numFmtId="0" fontId="34" fillId="4" borderId="0" xfId="1" applyFont="1" applyFill="1"/>
    <xf numFmtId="0" fontId="25" fillId="2" borderId="9" xfId="2" applyNumberFormat="1" applyFill="1" applyBorder="1" applyAlignment="1">
      <alignment vertical="center"/>
    </xf>
    <xf numFmtId="0" fontId="19" fillId="3" borderId="5" xfId="3" applyNumberFormat="1" applyFont="1" applyFill="1" applyBorder="1" applyAlignment="1">
      <alignment vertical="center"/>
    </xf>
    <xf numFmtId="0" fontId="25" fillId="2" borderId="0" xfId="2" applyNumberFormat="1" applyFill="1" applyBorder="1" applyAlignment="1">
      <alignment vertical="center"/>
    </xf>
    <xf numFmtId="0" fontId="30" fillId="2" borderId="0" xfId="2" applyNumberFormat="1" applyFont="1" applyFill="1" applyBorder="1" applyAlignment="1">
      <alignment vertical="center"/>
    </xf>
    <xf numFmtId="0" fontId="24" fillId="0" borderId="0" xfId="3" applyFont="1">
      <alignment vertical="top" wrapText="1"/>
    </xf>
    <xf numFmtId="0" fontId="33" fillId="0" borderId="0" xfId="0" applyNumberFormat="1" applyFont="1" applyAlignment="1">
      <alignment shrinkToFit="1"/>
    </xf>
    <xf numFmtId="0" fontId="1" fillId="0" borderId="0" xfId="0" applyFont="1" applyAlignment="1">
      <alignment vertical="top" shrinkToFit="1"/>
    </xf>
    <xf numFmtId="0" fontId="22" fillId="0" borderId="0" xfId="3" applyAlignment="1">
      <alignment vertical="top" shrinkToFit="1"/>
    </xf>
    <xf numFmtId="0" fontId="33" fillId="0" borderId="0" xfId="0" applyFont="1" applyAlignment="1">
      <alignment shrinkToFit="1"/>
    </xf>
    <xf numFmtId="0" fontId="1" fillId="0" borderId="0" xfId="0" applyFont="1" applyBorder="1" applyAlignment="1">
      <alignment vertical="top" shrinkToFit="1"/>
    </xf>
    <xf numFmtId="0" fontId="50" fillId="0" borderId="0" xfId="1" applyFont="1" applyAlignment="1">
      <alignment shrinkToFit="1"/>
    </xf>
    <xf numFmtId="0" fontId="50" fillId="0" borderId="0" xfId="1" applyFont="1" applyAlignment="1">
      <alignment vertical="top" shrinkToFit="1"/>
    </xf>
    <xf numFmtId="0" fontId="51" fillId="0" borderId="0" xfId="0" applyFont="1" applyAlignment="1">
      <alignment vertical="center"/>
    </xf>
    <xf numFmtId="0" fontId="25" fillId="4" borderId="0" xfId="2" applyNumberFormat="1" applyFill="1" applyBorder="1" applyAlignment="1">
      <alignment vertical="center"/>
    </xf>
    <xf numFmtId="0" fontId="18" fillId="4" borderId="0" xfId="0" applyNumberFormat="1" applyFont="1" applyFill="1" applyBorder="1" applyAlignment="1">
      <alignment vertical="center"/>
    </xf>
    <xf numFmtId="0" fontId="18" fillId="4" borderId="0" xfId="0" applyNumberFormat="1" applyFont="1" applyFill="1" applyBorder="1" applyAlignment="1">
      <alignment horizontal="center" vertical="center"/>
    </xf>
    <xf numFmtId="0" fontId="52" fillId="0" borderId="0" xfId="0" applyNumberFormat="1" applyFont="1" applyAlignment="1"/>
    <xf numFmtId="0" fontId="53" fillId="0" borderId="0" xfId="0" applyNumberFormat="1" applyFont="1" applyAlignment="1"/>
    <xf numFmtId="0" fontId="14" fillId="4" borderId="0" xfId="3" applyNumberFormat="1" applyFont="1" applyFill="1" applyBorder="1" applyAlignment="1">
      <alignment horizontal="left" vertical="center"/>
    </xf>
    <xf numFmtId="0" fontId="25" fillId="4" borderId="0" xfId="2" applyNumberFormat="1" applyFill="1" applyBorder="1" applyAlignment="1">
      <alignment horizontal="left" vertical="center"/>
    </xf>
    <xf numFmtId="0" fontId="16" fillId="0" borderId="0" xfId="0" applyNumberFormat="1" applyFont="1" applyFill="1" applyBorder="1" applyAlignment="1">
      <alignment horizontal="left" vertical="center" wrapText="1"/>
    </xf>
    <xf numFmtId="0" fontId="16" fillId="0" borderId="0" xfId="0" applyNumberFormat="1" applyFont="1" applyFill="1" applyBorder="1" applyAlignment="1">
      <alignment horizontal="center" vertical="center" wrapText="1"/>
    </xf>
    <xf numFmtId="0" fontId="28" fillId="0" borderId="0" xfId="0" applyFont="1" applyFill="1" applyBorder="1" applyAlignment="1">
      <alignment vertical="center" wrapText="1"/>
    </xf>
    <xf numFmtId="1" fontId="40" fillId="0" borderId="0" xfId="0" applyNumberFormat="1" applyFont="1" applyFill="1" applyBorder="1" applyAlignment="1">
      <alignment vertical="center" wrapText="1"/>
    </xf>
    <xf numFmtId="0" fontId="22" fillId="0" borderId="0" xfId="0" applyFont="1" applyFill="1" applyBorder="1">
      <alignment vertical="top" wrapText="1"/>
    </xf>
    <xf numFmtId="0" fontId="33" fillId="0" borderId="0" xfId="0" applyNumberFormat="1" applyFont="1" applyFill="1" applyAlignment="1">
      <alignment shrinkToFit="1"/>
    </xf>
    <xf numFmtId="0" fontId="4" fillId="0" borderId="18" xfId="3" applyFont="1" applyBorder="1" applyAlignment="1">
      <alignment horizontal="left" vertical="center" wrapText="1"/>
    </xf>
    <xf numFmtId="0" fontId="22" fillId="0" borderId="18" xfId="3" applyBorder="1">
      <alignment vertical="top" wrapText="1"/>
    </xf>
    <xf numFmtId="0" fontId="14" fillId="4" borderId="54" xfId="0" applyNumberFormat="1" applyFont="1" applyFill="1" applyBorder="1" applyAlignment="1">
      <alignment vertical="center"/>
    </xf>
    <xf numFmtId="0" fontId="14" fillId="4" borderId="39" xfId="0" applyNumberFormat="1" applyFont="1" applyFill="1" applyBorder="1" applyAlignment="1">
      <alignment vertical="center"/>
    </xf>
    <xf numFmtId="0" fontId="14" fillId="4" borderId="23" xfId="0" applyNumberFormat="1" applyFont="1" applyFill="1" applyBorder="1" applyAlignment="1">
      <alignment vertical="center"/>
    </xf>
    <xf numFmtId="0" fontId="18" fillId="4" borderId="23" xfId="0" applyNumberFormat="1" applyFont="1" applyFill="1" applyBorder="1" applyAlignment="1">
      <alignment vertical="center"/>
    </xf>
    <xf numFmtId="0" fontId="22" fillId="0" borderId="55" xfId="3" applyBorder="1" applyAlignment="1">
      <alignment vertical="center" wrapText="1"/>
    </xf>
    <xf numFmtId="0" fontId="4" fillId="0" borderId="0" xfId="0" applyFont="1" applyAlignment="1">
      <alignment vertical="top"/>
    </xf>
    <xf numFmtId="0" fontId="4" fillId="0" borderId="0" xfId="0" applyFont="1" applyAlignment="1">
      <alignment vertical="center"/>
    </xf>
    <xf numFmtId="0" fontId="4" fillId="19" borderId="0" xfId="0" applyFont="1" applyFill="1" applyAlignment="1">
      <alignment horizontal="right" vertical="center"/>
    </xf>
    <xf numFmtId="0" fontId="3" fillId="2" borderId="39" xfId="3" applyNumberFormat="1" applyFont="1" applyFill="1" applyBorder="1" applyAlignment="1">
      <alignment vertical="center"/>
    </xf>
    <xf numFmtId="0" fontId="3" fillId="2" borderId="23" xfId="3" applyNumberFormat="1" applyFont="1" applyFill="1" applyBorder="1" applyAlignment="1">
      <alignment vertical="center"/>
    </xf>
    <xf numFmtId="0" fontId="22" fillId="0" borderId="0" xfId="3" applyAlignment="1">
      <alignment vertical="top"/>
    </xf>
    <xf numFmtId="0" fontId="1" fillId="0" borderId="0" xfId="3" applyFont="1">
      <alignment vertical="top" wrapText="1"/>
    </xf>
    <xf numFmtId="0" fontId="2" fillId="17" borderId="0" xfId="0" applyNumberFormat="1" applyFont="1" applyFill="1" applyBorder="1" applyAlignment="1" applyProtection="1">
      <alignment vertical="center"/>
    </xf>
    <xf numFmtId="0" fontId="2" fillId="17" borderId="0" xfId="0" applyNumberFormat="1" applyFont="1" applyFill="1" applyBorder="1" applyAlignment="1" applyProtection="1">
      <alignment horizontal="center" vertical="center"/>
    </xf>
    <xf numFmtId="0" fontId="5" fillId="17" borderId="0"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vertical="center"/>
    </xf>
    <xf numFmtId="0" fontId="17" fillId="2" borderId="2" xfId="0" applyNumberFormat="1" applyFont="1" applyFill="1" applyBorder="1" applyAlignment="1" applyProtection="1">
      <alignment vertical="center"/>
    </xf>
    <xf numFmtId="164" fontId="18" fillId="10" borderId="4" xfId="0" applyNumberFormat="1" applyFont="1" applyFill="1" applyBorder="1" applyAlignment="1" applyProtection="1">
      <alignment horizontal="left" vertical="center"/>
    </xf>
    <xf numFmtId="0" fontId="4" fillId="0" borderId="2" xfId="0" applyNumberFormat="1" applyFont="1" applyBorder="1" applyAlignment="1" applyProtection="1"/>
    <xf numFmtId="0" fontId="19" fillId="3" borderId="5" xfId="0" applyNumberFormat="1" applyFont="1" applyFill="1" applyBorder="1" applyAlignment="1" applyProtection="1">
      <alignment vertical="center"/>
    </xf>
    <xf numFmtId="0" fontId="19" fillId="3" borderId="3" xfId="0" applyNumberFormat="1" applyFont="1" applyFill="1" applyBorder="1" applyAlignment="1" applyProtection="1">
      <alignment vertical="center"/>
    </xf>
    <xf numFmtId="0" fontId="19" fillId="3" borderId="5" xfId="0" applyNumberFormat="1" applyFont="1" applyFill="1" applyBorder="1" applyAlignment="1" applyProtection="1">
      <alignment horizontal="center" vertical="center" wrapText="1"/>
    </xf>
    <xf numFmtId="1" fontId="19" fillId="3" borderId="5" xfId="0" applyNumberFormat="1" applyFont="1" applyFill="1" applyBorder="1" applyAlignment="1" applyProtection="1">
      <alignment horizontal="left" vertical="center" wrapText="1"/>
    </xf>
    <xf numFmtId="1" fontId="20" fillId="3" borderId="5" xfId="0" applyNumberFormat="1" applyFont="1" applyFill="1" applyBorder="1" applyAlignment="1" applyProtection="1">
      <alignment horizontal="left" vertical="center" wrapText="1"/>
    </xf>
    <xf numFmtId="0" fontId="17" fillId="4" borderId="0" xfId="0" applyNumberFormat="1" applyFont="1" applyFill="1" applyBorder="1" applyAlignment="1" applyProtection="1">
      <alignment vertical="center"/>
    </xf>
    <xf numFmtId="0" fontId="14" fillId="4" borderId="0" xfId="0" applyNumberFormat="1" applyFont="1" applyFill="1" applyBorder="1" applyAlignment="1" applyProtection="1">
      <alignment vertical="center"/>
    </xf>
    <xf numFmtId="0" fontId="14" fillId="4" borderId="0" xfId="0" applyNumberFormat="1" applyFont="1" applyFill="1" applyBorder="1" applyAlignment="1" applyProtection="1">
      <alignment horizontal="center" vertical="center"/>
    </xf>
    <xf numFmtId="0" fontId="14" fillId="4" borderId="54" xfId="0" applyNumberFormat="1" applyFont="1" applyFill="1" applyBorder="1" applyAlignment="1" applyProtection="1">
      <alignment vertical="center"/>
    </xf>
    <xf numFmtId="0" fontId="14" fillId="4" borderId="39" xfId="0" applyNumberFormat="1" applyFont="1" applyFill="1" applyBorder="1" applyAlignment="1" applyProtection="1">
      <alignment vertical="center"/>
    </xf>
    <xf numFmtId="0" fontId="18" fillId="4" borderId="0" xfId="0" applyNumberFormat="1" applyFont="1" applyFill="1" applyBorder="1" applyAlignment="1" applyProtection="1">
      <alignment vertical="center"/>
    </xf>
    <xf numFmtId="0" fontId="25" fillId="4" borderId="0" xfId="2" applyNumberFormat="1" applyFill="1" applyBorder="1" applyAlignment="1" applyProtection="1">
      <alignment vertical="center"/>
    </xf>
    <xf numFmtId="0" fontId="14" fillId="4" borderId="23" xfId="0" applyNumberFormat="1" applyFont="1" applyFill="1" applyBorder="1" applyAlignment="1" applyProtection="1">
      <alignment vertical="center"/>
    </xf>
    <xf numFmtId="0" fontId="19" fillId="3" borderId="3" xfId="3" applyNumberFormat="1" applyFont="1" applyFill="1" applyBorder="1" applyAlignment="1" applyProtection="1">
      <alignment vertical="center"/>
    </xf>
    <xf numFmtId="0" fontId="19" fillId="3" borderId="3" xfId="0" applyNumberFormat="1" applyFont="1" applyFill="1" applyBorder="1" applyAlignment="1" applyProtection="1">
      <alignment horizontal="center" vertical="center"/>
    </xf>
    <xf numFmtId="1" fontId="20" fillId="3" borderId="3" xfId="0" applyNumberFormat="1" applyFont="1" applyFill="1" applyBorder="1" applyAlignment="1" applyProtection="1">
      <alignment horizontal="left" vertical="center" wrapText="1"/>
    </xf>
    <xf numFmtId="0" fontId="17" fillId="4" borderId="0" xfId="3" applyNumberFormat="1" applyFont="1" applyFill="1" applyBorder="1" applyAlignment="1">
      <alignment vertical="center"/>
    </xf>
    <xf numFmtId="0" fontId="17" fillId="4" borderId="0" xfId="3" applyNumberFormat="1" applyFont="1" applyFill="1" applyBorder="1" applyAlignment="1">
      <alignment horizontal="left" vertical="center" wrapText="1"/>
    </xf>
    <xf numFmtId="0" fontId="54" fillId="2" borderId="11" xfId="3" applyFont="1" applyFill="1" applyBorder="1" applyAlignment="1">
      <alignment vertical="center"/>
    </xf>
    <xf numFmtId="0" fontId="19" fillId="24" borderId="3" xfId="3" applyNumberFormat="1" applyFont="1" applyFill="1" applyBorder="1" applyAlignment="1">
      <alignment vertical="center"/>
    </xf>
    <xf numFmtId="0" fontId="19" fillId="24" borderId="3" xfId="3" applyNumberFormat="1" applyFont="1" applyFill="1" applyBorder="1" applyAlignment="1">
      <alignment horizontal="center" vertical="center" wrapText="1"/>
    </xf>
    <xf numFmtId="0" fontId="22" fillId="24" borderId="0" xfId="3" applyFill="1">
      <alignment vertical="top" wrapText="1"/>
    </xf>
    <xf numFmtId="0" fontId="55" fillId="4" borderId="3" xfId="3" applyNumberFormat="1" applyFont="1" applyFill="1" applyBorder="1" applyAlignment="1">
      <alignment vertical="center"/>
    </xf>
    <xf numFmtId="0" fontId="22" fillId="0" borderId="1" xfId="0" applyFont="1" applyBorder="1" applyAlignment="1">
      <alignment horizontal="left" vertical="center"/>
    </xf>
    <xf numFmtId="0" fontId="22" fillId="0" borderId="37" xfId="0" applyFont="1" applyBorder="1" applyAlignment="1">
      <alignment vertical="center" wrapText="1"/>
    </xf>
    <xf numFmtId="0" fontId="22" fillId="0" borderId="1" xfId="0" applyFont="1" applyBorder="1" applyAlignment="1">
      <alignment horizontal="center" vertical="center" wrapText="1"/>
    </xf>
    <xf numFmtId="0" fontId="22" fillId="0" borderId="2" xfId="0" applyFont="1" applyBorder="1" applyAlignment="1">
      <alignment vertical="center" wrapText="1"/>
    </xf>
    <xf numFmtId="0" fontId="23" fillId="0" borderId="27" xfId="0" applyFont="1" applyBorder="1" applyAlignment="1">
      <alignment horizontal="center" vertical="center" wrapText="1"/>
    </xf>
    <xf numFmtId="0" fontId="2" fillId="17" borderId="0" xfId="0" applyNumberFormat="1" applyFont="1" applyFill="1" applyBorder="1" applyAlignment="1">
      <alignment vertical="center" wrapText="1"/>
    </xf>
    <xf numFmtId="164" fontId="18" fillId="10" borderId="4" xfId="0" applyNumberFormat="1" applyFont="1" applyFill="1" applyBorder="1" applyAlignment="1">
      <alignment horizontal="left" vertical="center" wrapText="1"/>
    </xf>
    <xf numFmtId="0" fontId="14" fillId="4" borderId="0" xfId="0" applyNumberFormat="1" applyFont="1" applyFill="1" applyBorder="1" applyAlignment="1">
      <alignment vertical="center" wrapText="1"/>
    </xf>
    <xf numFmtId="0" fontId="19" fillId="3" borderId="3" xfId="0" applyNumberFormat="1" applyFont="1" applyFill="1" applyBorder="1" applyAlignment="1">
      <alignment horizontal="center" vertical="center" wrapText="1"/>
    </xf>
    <xf numFmtId="0" fontId="28" fillId="0" borderId="1" xfId="0" applyNumberFormat="1" applyFont="1" applyFill="1" applyBorder="1" applyAlignment="1">
      <alignment vertical="center" wrapText="1"/>
    </xf>
    <xf numFmtId="0" fontId="28" fillId="0" borderId="2" xfId="0" applyNumberFormat="1" applyFont="1" applyFill="1" applyBorder="1" applyAlignment="1">
      <alignment vertical="center" wrapText="1"/>
    </xf>
    <xf numFmtId="0" fontId="28" fillId="0" borderId="0" xfId="0" applyNumberFormat="1" applyFont="1" applyFill="1" applyBorder="1" applyAlignment="1">
      <alignment vertical="center" wrapText="1"/>
    </xf>
    <xf numFmtId="0" fontId="16" fillId="0" borderId="1" xfId="0" applyNumberFormat="1" applyFont="1" applyFill="1" applyBorder="1" applyAlignment="1">
      <alignment vertical="center" wrapText="1"/>
    </xf>
    <xf numFmtId="0" fontId="16" fillId="0" borderId="3" xfId="0" applyNumberFormat="1" applyFont="1" applyFill="1" applyBorder="1" applyAlignment="1">
      <alignment vertical="center" wrapText="1"/>
    </xf>
    <xf numFmtId="0" fontId="16" fillId="0" borderId="2" xfId="0" applyNumberFormat="1" applyFont="1" applyFill="1" applyBorder="1" applyAlignment="1">
      <alignment vertical="center" wrapText="1"/>
    </xf>
    <xf numFmtId="0" fontId="16" fillId="0" borderId="0" xfId="0" applyNumberFormat="1" applyFont="1" applyFill="1" applyBorder="1" applyAlignment="1">
      <alignment vertical="center" wrapText="1"/>
    </xf>
    <xf numFmtId="0" fontId="18" fillId="4" borderId="0" xfId="0" applyNumberFormat="1" applyFont="1" applyFill="1" applyBorder="1" applyAlignment="1">
      <alignment vertical="center" wrapText="1"/>
    </xf>
    <xf numFmtId="0" fontId="21" fillId="0" borderId="2" xfId="0" applyNumberFormat="1" applyFont="1" applyFill="1" applyBorder="1" applyAlignment="1">
      <alignment vertical="center" wrapText="1"/>
    </xf>
    <xf numFmtId="0" fontId="21" fillId="0" borderId="0" xfId="0" applyNumberFormat="1" applyFont="1" applyFill="1" applyBorder="1" applyAlignment="1">
      <alignment vertical="center" wrapText="1"/>
    </xf>
    <xf numFmtId="0" fontId="2" fillId="17" borderId="0" xfId="0" applyNumberFormat="1" applyFont="1" applyFill="1" applyBorder="1" applyAlignment="1" applyProtection="1">
      <alignment vertical="center" wrapText="1"/>
    </xf>
    <xf numFmtId="164" fontId="18" fillId="10" borderId="4" xfId="0" applyNumberFormat="1" applyFont="1" applyFill="1" applyBorder="1" applyAlignment="1" applyProtection="1">
      <alignment horizontal="left" vertical="center" wrapText="1"/>
    </xf>
    <xf numFmtId="0" fontId="14" fillId="4" borderId="0" xfId="0" applyNumberFormat="1" applyFont="1" applyFill="1" applyBorder="1" applyAlignment="1" applyProtection="1">
      <alignment vertical="center" wrapText="1"/>
    </xf>
    <xf numFmtId="0" fontId="19" fillId="3" borderId="3" xfId="0" applyNumberFormat="1" applyFont="1" applyFill="1" applyBorder="1" applyAlignment="1" applyProtection="1">
      <alignment horizontal="center" vertical="center" wrapText="1"/>
    </xf>
    <xf numFmtId="0" fontId="21" fillId="0" borderId="3" xfId="0" applyNumberFormat="1" applyFont="1" applyFill="1" applyBorder="1" applyAlignment="1">
      <alignment vertical="center" wrapText="1"/>
    </xf>
    <xf numFmtId="0" fontId="19" fillId="3" borderId="24" xfId="0" applyNumberFormat="1" applyFont="1" applyFill="1" applyBorder="1" applyAlignment="1">
      <alignment horizontal="center" vertical="center" wrapText="1"/>
    </xf>
    <xf numFmtId="0" fontId="32" fillId="0" borderId="4" xfId="0" applyFont="1" applyBorder="1" applyAlignment="1">
      <alignment horizontal="left" vertical="center"/>
    </xf>
    <xf numFmtId="0" fontId="20" fillId="3" borderId="5" xfId="0" applyNumberFormat="1" applyFont="1" applyFill="1" applyBorder="1" applyAlignment="1">
      <alignment horizontal="left" vertical="center"/>
    </xf>
    <xf numFmtId="0" fontId="56" fillId="0" borderId="3" xfId="0" applyFont="1" applyBorder="1" applyAlignment="1">
      <alignment horizontal="left" vertical="center" wrapText="1"/>
    </xf>
    <xf numFmtId="0" fontId="57" fillId="3" borderId="5" xfId="0" applyNumberFormat="1" applyFont="1" applyFill="1" applyBorder="1" applyAlignment="1">
      <alignment horizontal="left" vertical="center"/>
    </xf>
    <xf numFmtId="0" fontId="56" fillId="0" borderId="2" xfId="0" applyFont="1" applyBorder="1" applyAlignment="1">
      <alignment horizontal="left" vertical="center" wrapText="1"/>
    </xf>
    <xf numFmtId="0" fontId="56" fillId="0" borderId="1" xfId="0" applyFont="1" applyBorder="1" applyAlignment="1">
      <alignment horizontal="left" vertical="center" wrapText="1"/>
    </xf>
    <xf numFmtId="0" fontId="58" fillId="3" borderId="5" xfId="2" applyNumberFormat="1" applyFont="1" applyFill="1" applyBorder="1" applyAlignment="1">
      <alignment horizontal="left" vertical="center"/>
    </xf>
    <xf numFmtId="0" fontId="46" fillId="3" borderId="5" xfId="0" applyNumberFormat="1" applyFont="1" applyFill="1" applyBorder="1" applyAlignment="1">
      <alignment horizontal="center" vertical="center"/>
    </xf>
    <xf numFmtId="0" fontId="21" fillId="0" borderId="1" xfId="0" applyNumberFormat="1" applyFont="1" applyFill="1" applyBorder="1" applyAlignment="1">
      <alignment horizontal="left" vertical="center" wrapText="1"/>
    </xf>
    <xf numFmtId="0" fontId="21" fillId="0" borderId="1" xfId="0" applyNumberFormat="1" applyFont="1" applyFill="1" applyBorder="1" applyAlignment="1">
      <alignment horizontal="center" vertical="center" wrapText="1"/>
    </xf>
    <xf numFmtId="164" fontId="18" fillId="10" borderId="53" xfId="0" applyNumberFormat="1" applyFont="1" applyFill="1" applyBorder="1" applyAlignment="1">
      <alignment horizontal="left" vertical="center"/>
    </xf>
    <xf numFmtId="164" fontId="18" fillId="10" borderId="1" xfId="0" applyNumberFormat="1" applyFont="1" applyFill="1" applyBorder="1" applyAlignment="1" applyProtection="1">
      <alignment horizontal="left" vertical="center"/>
    </xf>
    <xf numFmtId="0" fontId="50" fillId="10" borderId="3" xfId="1" applyFont="1" applyFill="1" applyBorder="1" applyAlignment="1">
      <alignment vertical="top" shrinkToFit="1"/>
    </xf>
    <xf numFmtId="0" fontId="8" fillId="0" borderId="3" xfId="1" applyBorder="1" applyAlignment="1">
      <alignment vertical="top" wrapText="1"/>
    </xf>
    <xf numFmtId="0" fontId="9" fillId="0" borderId="3" xfId="1" applyFont="1" applyBorder="1" applyAlignment="1">
      <alignment vertical="top" wrapText="1"/>
    </xf>
    <xf numFmtId="0" fontId="9" fillId="5" borderId="3" xfId="1" applyFont="1" applyFill="1" applyBorder="1" applyAlignment="1">
      <alignment vertical="top" wrapText="1"/>
    </xf>
    <xf numFmtId="0" fontId="9" fillId="6" borderId="3" xfId="1" applyFont="1" applyFill="1" applyBorder="1" applyAlignment="1">
      <alignment vertical="top" wrapText="1"/>
    </xf>
    <xf numFmtId="0" fontId="9" fillId="7" borderId="3" xfId="1" applyFont="1" applyFill="1" applyBorder="1" applyAlignment="1">
      <alignment vertical="top" wrapText="1"/>
    </xf>
    <xf numFmtId="0" fontId="9" fillId="8" borderId="3" xfId="1" applyFont="1" applyFill="1" applyBorder="1" applyAlignment="1">
      <alignment vertical="top" wrapText="1"/>
    </xf>
    <xf numFmtId="0" fontId="9" fillId="9" borderId="3" xfId="1" applyFont="1" applyFill="1" applyBorder="1" applyAlignment="1">
      <alignment vertical="top" wrapText="1"/>
    </xf>
    <xf numFmtId="0" fontId="10" fillId="0" borderId="3" xfId="1" applyFont="1" applyBorder="1" applyAlignment="1">
      <alignment vertical="top" wrapText="1"/>
    </xf>
    <xf numFmtId="0" fontId="36" fillId="0" borderId="3" xfId="0" applyFont="1" applyBorder="1">
      <alignment vertical="top" wrapText="1"/>
    </xf>
    <xf numFmtId="0" fontId="36" fillId="0" borderId="3" xfId="0" applyFont="1" applyBorder="1" applyAlignment="1">
      <alignment horizontal="right" vertical="top" wrapText="1"/>
    </xf>
    <xf numFmtId="0" fontId="59" fillId="0" borderId="3" xfId="0" applyFont="1" applyBorder="1">
      <alignment vertical="top" wrapText="1"/>
    </xf>
    <xf numFmtId="0" fontId="36" fillId="0" borderId="3" xfId="0" applyFont="1" applyBorder="1" applyAlignment="1">
      <alignment vertical="center"/>
    </xf>
    <xf numFmtId="0" fontId="36" fillId="0" borderId="3" xfId="0" applyFont="1" applyBorder="1" applyAlignment="1">
      <alignment wrapText="1"/>
    </xf>
    <xf numFmtId="0" fontId="59" fillId="0" borderId="3" xfId="0" applyFont="1" applyBorder="1" applyAlignment="1">
      <alignment wrapText="1"/>
    </xf>
    <xf numFmtId="0" fontId="60" fillId="0" borderId="3" xfId="0" applyFont="1" applyBorder="1" applyAlignment="1">
      <alignment wrapText="1"/>
    </xf>
    <xf numFmtId="0" fontId="10" fillId="0" borderId="0" xfId="0" applyFont="1">
      <alignment vertical="top" wrapText="1"/>
    </xf>
    <xf numFmtId="0" fontId="1" fillId="0" borderId="0" xfId="3" applyFont="1" applyAlignment="1">
      <alignment vertical="center" wrapText="1"/>
    </xf>
    <xf numFmtId="0" fontId="7" fillId="0" borderId="23" xfId="3" applyFont="1" applyBorder="1" applyAlignment="1">
      <alignment vertical="center"/>
    </xf>
    <xf numFmtId="0" fontId="61" fillId="25" borderId="0" xfId="1" applyFont="1" applyFill="1"/>
    <xf numFmtId="0" fontId="10" fillId="26" borderId="3" xfId="1" applyFont="1" applyFill="1" applyBorder="1" applyAlignment="1">
      <alignment vertical="top" wrapText="1"/>
    </xf>
    <xf numFmtId="0" fontId="11" fillId="26" borderId="3" xfId="1" applyFont="1" applyFill="1" applyBorder="1" applyAlignment="1">
      <alignment vertical="top" wrapText="1"/>
    </xf>
    <xf numFmtId="0" fontId="36" fillId="26" borderId="3" xfId="0" applyFont="1" applyFill="1" applyBorder="1">
      <alignment vertical="top" wrapText="1"/>
    </xf>
    <xf numFmtId="0" fontId="25" fillId="0" borderId="1" xfId="2" applyNumberFormat="1" applyFill="1" applyBorder="1" applyAlignment="1">
      <alignment horizontal="left" vertical="center"/>
    </xf>
    <xf numFmtId="0" fontId="14" fillId="0" borderId="56" xfId="0" applyFont="1" applyBorder="1">
      <alignment vertical="top" wrapText="1"/>
    </xf>
    <xf numFmtId="0" fontId="28" fillId="0" borderId="1" xfId="0" applyNumberFormat="1" applyFont="1" applyFill="1" applyBorder="1" applyAlignment="1">
      <alignment horizontal="left" vertical="center" wrapText="1"/>
    </xf>
    <xf numFmtId="0" fontId="16" fillId="10" borderId="1" xfId="0" applyNumberFormat="1" applyFont="1" applyFill="1" applyBorder="1" applyAlignment="1">
      <alignment horizontal="left" vertical="center" wrapText="1"/>
    </xf>
    <xf numFmtId="0" fontId="32" fillId="0" borderId="0" xfId="3" applyFont="1" applyAlignment="1">
      <alignment horizontal="center"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19" fillId="3" borderId="5" xfId="0" applyFont="1" applyFill="1" applyBorder="1" applyAlignment="1">
      <alignment horizontal="center" vertical="center" wrapText="1"/>
    </xf>
  </cellXfs>
  <cellStyles count="4">
    <cellStyle name="Hyperlink" xfId="2" builtinId="8"/>
    <cellStyle name="Normal" xfId="0" builtinId="0"/>
    <cellStyle name="Normal 2" xfId="1" xr:uid="{0977C3B5-2E08-4294-B0E1-AB58BF027327}"/>
    <cellStyle name="Normal 3" xfId="3" xr:uid="{EAF195EE-AFF6-40D1-AAFA-97A5153DA503}"/>
  </cellStyles>
  <dxfs count="1">
    <dxf>
      <font>
        <color rgb="FFFF0000"/>
      </font>
    </dxf>
  </dxfs>
  <tableStyles count="0" defaultTableStyle="TableStyleMedium2" defaultPivotStyle="PivotStyleLight16"/>
  <colors>
    <mruColors>
      <color rgb="FFBF0000"/>
      <color rgb="FF7ECCA0"/>
      <color rgb="FFD0DAF0"/>
      <color rgb="FF00636C"/>
      <color rgb="FFFDEEC5"/>
      <color rgb="FFE0B233"/>
      <color rgb="FF4C6BB3"/>
      <color rgb="FFB6F1D0"/>
      <color rgb="FFB651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Nichole Arbino (she/her)" id="{5608B8F2-66AD-4513-93ED-510AE4C6D38F}" userId="S::narbino@educause.edu::97e22f53-5f65-4918-80b8-6daabf17ba6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9" dT="2024-11-09T02:35:39.26" personId="{5608B8F2-66AD-4513-93ED-510AE4C6D38F}" id="{4A0CC0DA-6623-4115-B60A-38E5EC6CE394}">
    <text>This question will be reworded with a preferred answer of no. That is reflected in column T, but the new verbiage should come Monday.</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oe@cursivetechnology.com" TargetMode="External"/><Relationship Id="rId1" Type="http://schemas.openxmlformats.org/officeDocument/2006/relationships/hyperlink" Target="http://www.educause.edu/HECVAT"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ducause.edu/higher-education-community-vendor-assessment-toolkit/how-to-use-the-higher-education-community-vendor-assessment-toolki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educause.edu/HECVAT"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educause.edu/HECVAT" TargetMode="External"/><Relationship Id="rId1" Type="http://schemas.openxmlformats.org/officeDocument/2006/relationships/hyperlink" Target="https://connect.educause.edu/community-home?CommunityKey=dd48df3c-8db8-4551-a9e5-a393b7a15e40"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use.edu/HECVA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ducause.edu/HECVA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ducause.edu/HECVAT"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cursivetechnology.com/accessibility" TargetMode="External"/><Relationship Id="rId2" Type="http://schemas.openxmlformats.org/officeDocument/2006/relationships/hyperlink" Target="mailto:joe@cursivetechnology.com" TargetMode="External"/><Relationship Id="rId1" Type="http://schemas.openxmlformats.org/officeDocument/2006/relationships/hyperlink" Target="http://www.educause.edu/HECVAT"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ducause.edu/HECVA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educause.edu/HECVA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ducause.edu/HECVA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educause.edu/HECVAT" TargetMode="External"/><Relationship Id="rId1" Type="http://schemas.openxmlformats.org/officeDocument/2006/relationships/hyperlink" Target="http://www.educause.edu/HECV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51EAF-9FC8-4708-9241-728E3131A911}">
  <sheetPr>
    <tabColor rgb="FF00636C"/>
  </sheetPr>
  <dimension ref="A1:L75"/>
  <sheetViews>
    <sheetView showGridLines="0" showZeros="0" topLeftCell="A28" zoomScale="80" zoomScaleNormal="80" workbookViewId="0">
      <selection activeCell="A37" sqref="A37"/>
    </sheetView>
  </sheetViews>
  <sheetFormatPr defaultColWidth="0" defaultRowHeight="0" customHeight="1" zeroHeight="1" x14ac:dyDescent="0.25"/>
  <cols>
    <col min="1" max="1" width="8.3046875" customWidth="1"/>
    <col min="2" max="2" width="55.07421875" style="1" customWidth="1"/>
    <col min="3" max="3" width="18.921875" style="8" bestFit="1" customWidth="1"/>
    <col min="4" max="4" width="55.69140625" style="9" customWidth="1"/>
    <col min="5" max="5" width="32" style="10" customWidth="1"/>
    <col min="6" max="6" width="30.69140625" style="1" customWidth="1"/>
    <col min="7" max="7" width="18.07421875" style="1" customWidth="1"/>
    <col min="8" max="8" width="16.61328125" style="1" hidden="1" customWidth="1"/>
    <col min="9" max="9" width="18.07421875" style="35" hidden="1" customWidth="1"/>
    <col min="10" max="10" width="18.07421875" style="1" hidden="1" customWidth="1"/>
    <col min="11" max="11" width="4.4609375" style="1" hidden="1" customWidth="1"/>
    <col min="12" max="12" width="6.61328125" style="1" hidden="1" customWidth="1"/>
    <col min="13" max="16384" width="6.61328125" hidden="1"/>
  </cols>
  <sheetData>
    <row r="1" spans="1:9" ht="0" hidden="1" customHeight="1" x14ac:dyDescent="0.25">
      <c r="A1" t="s">
        <v>1448</v>
      </c>
    </row>
    <row r="2" spans="1:9" ht="36" customHeight="1" x14ac:dyDescent="0.25">
      <c r="A2" s="273" t="s">
        <v>1516</v>
      </c>
      <c r="B2" s="273"/>
      <c r="C2" s="274"/>
      <c r="D2" s="322"/>
      <c r="E2" s="275"/>
      <c r="F2" s="275" t="str">
        <f>'Auto Responses'!$A$36</f>
        <v>Version 4.1.5</v>
      </c>
    </row>
    <row r="3" spans="1:9" s="1" customFormat="1" ht="29.1" customHeight="1" x14ac:dyDescent="0.25">
      <c r="A3" s="276" t="s">
        <v>940</v>
      </c>
      <c r="B3" s="277"/>
      <c r="C3" s="339"/>
      <c r="D3" s="323"/>
      <c r="E3" s="278"/>
      <c r="F3" s="279"/>
      <c r="I3" s="35"/>
    </row>
    <row r="4" spans="1:9" s="1" customFormat="1" ht="36" customHeight="1" x14ac:dyDescent="0.25">
      <c r="A4" s="280" t="s">
        <v>865</v>
      </c>
      <c r="B4" s="281"/>
      <c r="C4" s="282"/>
      <c r="D4" s="283"/>
      <c r="E4" s="284"/>
      <c r="F4" s="284"/>
      <c r="I4" s="35"/>
    </row>
    <row r="5" spans="1:9" s="1" customFormat="1" ht="19.5" customHeight="1" x14ac:dyDescent="0.25">
      <c r="A5" s="285" t="str">
        <f>HLOOKUP($A$4,'Auto Responses'!$D$2:$D$8,2,0)&amp;""</f>
        <v>1. Complete the "Start Here" tab and review the "Required Questions" guidance to find the other sections are required for your product or service.</v>
      </c>
      <c r="B5" s="286"/>
      <c r="C5" s="287"/>
      <c r="D5" s="324"/>
      <c r="E5" s="286"/>
      <c r="F5" s="288"/>
      <c r="I5" s="35"/>
    </row>
    <row r="6" spans="1:9" s="1" customFormat="1" ht="19.5" customHeight="1" x14ac:dyDescent="0.25">
      <c r="A6" s="285" t="str">
        <f>HLOOKUP($A$4,'Auto Responses'!$D$2:$D$8,3,0)&amp;""</f>
        <v>2. Complete the "Organization" tab and the applicable questions in each of the next 5 tabs (Product through Privacy) that apply, based on your answers to the "Required Questions."</v>
      </c>
      <c r="B6" s="286"/>
      <c r="C6" s="287"/>
      <c r="D6" s="324"/>
      <c r="E6" s="286"/>
      <c r="F6" s="289"/>
      <c r="I6" s="35"/>
    </row>
    <row r="7" spans="1:9" s="1" customFormat="1" ht="19.5" customHeight="1" x14ac:dyDescent="0.25">
      <c r="A7" s="285" t="str">
        <f>HLOOKUP($A$4,'Auto Responses'!$D$2:$D$8,4,0)&amp;""</f>
        <v xml:space="preserve">3. Guidance in column E may change based on your answers to prompt details in "Additional Information." If leaving an answer blank, you must also state why in "Additional Information". </v>
      </c>
      <c r="B7" s="286"/>
      <c r="C7" s="287"/>
      <c r="D7" s="324"/>
      <c r="E7" s="286"/>
      <c r="F7" s="289"/>
      <c r="I7" s="35"/>
    </row>
    <row r="8" spans="1:9" s="1" customFormat="1" ht="19.5" customHeight="1" x14ac:dyDescent="0.25">
      <c r="A8" s="285" t="str">
        <f>HLOOKUP($A$4,'Auto Responses'!$D$2:$D$8,5,0)&amp;""</f>
        <v>4. DO NOT complete any fields in the "Evaluation" sheets or the "Analyst Notes" column.</v>
      </c>
      <c r="B8" s="286"/>
      <c r="C8" s="287"/>
      <c r="D8" s="324"/>
      <c r="E8" s="286"/>
      <c r="F8" s="289"/>
      <c r="I8" s="35"/>
    </row>
    <row r="9" spans="1:9" s="1" customFormat="1" ht="19.5" customHeight="1" x14ac:dyDescent="0.25">
      <c r="A9" s="285" t="str">
        <f>HLOOKUP($A$4,'Auto Responses'!$D$2:$D$8,6,0)&amp;""</f>
        <v>5. Return the completed file to institutions.</v>
      </c>
      <c r="B9" s="286"/>
      <c r="C9" s="287"/>
      <c r="D9" s="324"/>
      <c r="E9" s="286"/>
      <c r="F9" s="289"/>
      <c r="I9" s="35"/>
    </row>
    <row r="10" spans="1:9" s="1" customFormat="1" ht="19.5" customHeight="1" x14ac:dyDescent="0.25">
      <c r="A10" s="290" t="str">
        <f>HLOOKUP($A$4,'Auto Responses'!$D$2:$D$8,7,0)&amp;""</f>
        <v>* Denotes critical questions. Critical questions are those deemed most important to institutions by higher education volunteers.</v>
      </c>
      <c r="B10" s="286"/>
      <c r="C10" s="287"/>
      <c r="D10" s="324"/>
      <c r="E10" s="286"/>
      <c r="F10" s="289"/>
      <c r="I10" s="35"/>
    </row>
    <row r="11" spans="1:9" s="1" customFormat="1" ht="19.5" customHeight="1" x14ac:dyDescent="0.25">
      <c r="A11" s="291" t="str">
        <f>HLOOKUP($A$4,'Auto Responses'!$D$2:$D$9,8,0)&amp;""</f>
        <v>For full instructions, please visit educause.edu/HECVAT</v>
      </c>
      <c r="B11" s="286"/>
      <c r="C11" s="287"/>
      <c r="D11" s="324"/>
      <c r="E11" s="286"/>
      <c r="F11" s="292"/>
      <c r="I11" s="35"/>
    </row>
    <row r="12" spans="1:9" s="1" customFormat="1" ht="36" customHeight="1" x14ac:dyDescent="0.25">
      <c r="A12" s="293" t="str">
        <f>VLOOKUP(LEFT($A13,4),'Auto Responses'!$N$4:$O$38,2,0)&amp;""</f>
        <v xml:space="preserve"> General Information</v>
      </c>
      <c r="B12" s="281"/>
      <c r="C12" s="294"/>
      <c r="D12" s="325"/>
      <c r="E12" s="295"/>
      <c r="F12" s="295"/>
      <c r="I12" s="35"/>
    </row>
    <row r="13" spans="1:9" s="1" customFormat="1" ht="22.35" customHeight="1" x14ac:dyDescent="0.25">
      <c r="A13" s="19" t="s">
        <v>21</v>
      </c>
      <c r="B13" s="20" t="str">
        <f>VLOOKUP($A13,Questions!$A$2:$X$333,2,0)&amp;""</f>
        <v>Solution Provider Name</v>
      </c>
      <c r="C13" s="76" t="s">
        <v>1909</v>
      </c>
      <c r="D13" s="32"/>
      <c r="E13" s="32"/>
      <c r="F13" s="50"/>
      <c r="I13" s="35"/>
    </row>
    <row r="14" spans="1:9" s="1" customFormat="1" ht="22.35" customHeight="1" x14ac:dyDescent="0.25">
      <c r="A14" s="19" t="s">
        <v>24</v>
      </c>
      <c r="B14" s="20" t="str">
        <f>VLOOKUP($A14,Questions!$A$2:$X$333,2,0)&amp;""</f>
        <v>Solution Name</v>
      </c>
      <c r="C14" s="76" t="s">
        <v>1916</v>
      </c>
      <c r="D14" s="32"/>
      <c r="E14" s="33"/>
      <c r="F14" s="50"/>
      <c r="I14" s="35"/>
    </row>
    <row r="15" spans="1:9" s="1" customFormat="1" ht="22.35" customHeight="1" x14ac:dyDescent="0.25">
      <c r="A15" s="19" t="s">
        <v>25</v>
      </c>
      <c r="B15" s="20" t="str">
        <f>VLOOKUP($A15,Questions!$A$2:$X$333,2,0)&amp;""</f>
        <v>Solution Description</v>
      </c>
      <c r="C15" s="76" t="s">
        <v>1917</v>
      </c>
      <c r="D15" s="32"/>
      <c r="E15" s="33"/>
      <c r="F15" s="50"/>
      <c r="I15" s="35"/>
    </row>
    <row r="16" spans="1:9" s="1" customFormat="1" ht="22.35" customHeight="1" x14ac:dyDescent="0.25">
      <c r="A16" s="19" t="s">
        <v>26</v>
      </c>
      <c r="B16" s="20" t="str">
        <f>VLOOKUP($A16,Questions!$A$2:$X$333,2,0)&amp;""</f>
        <v>Solution Provider Contact Name</v>
      </c>
      <c r="C16" s="76" t="s">
        <v>1910</v>
      </c>
      <c r="D16" s="32"/>
      <c r="E16" s="33"/>
      <c r="F16" s="50"/>
      <c r="I16" s="35"/>
    </row>
    <row r="17" spans="1:9" s="1" customFormat="1" ht="22.35" customHeight="1" x14ac:dyDescent="0.25">
      <c r="A17" s="19" t="s">
        <v>27</v>
      </c>
      <c r="B17" s="20" t="str">
        <f>VLOOKUP($A17,Questions!$A$2:$X$333,2,0)&amp;""</f>
        <v>Solution Provider Contact Title</v>
      </c>
      <c r="C17" s="76" t="s">
        <v>1911</v>
      </c>
      <c r="D17" s="9"/>
      <c r="E17" s="33"/>
      <c r="F17" s="50"/>
      <c r="I17" s="35"/>
    </row>
    <row r="18" spans="1:9" s="1" customFormat="1" ht="22.35" customHeight="1" x14ac:dyDescent="0.25">
      <c r="A18" s="19" t="s">
        <v>28</v>
      </c>
      <c r="B18" s="20" t="str">
        <f>VLOOKUP($A18,Questions!$A$2:$X$333,2,0)&amp;""</f>
        <v>Solution Provider Contact Email</v>
      </c>
      <c r="C18" s="363" t="s">
        <v>1912</v>
      </c>
      <c r="D18" s="32"/>
      <c r="E18" s="33"/>
      <c r="F18" s="50"/>
      <c r="I18" s="35"/>
    </row>
    <row r="19" spans="1:9" s="1" customFormat="1" ht="22.35" customHeight="1" x14ac:dyDescent="0.25">
      <c r="A19" s="19" t="s">
        <v>29</v>
      </c>
      <c r="B19" s="20" t="str">
        <f>VLOOKUP($A19,Questions!$A$2:$X$333,2,0)&amp;""</f>
        <v>Solution Provider Contact Phone Number</v>
      </c>
      <c r="C19" s="76" t="s">
        <v>1913</v>
      </c>
      <c r="D19" s="32"/>
      <c r="E19" s="33"/>
      <c r="F19" s="50"/>
      <c r="I19" s="35"/>
    </row>
    <row r="20" spans="1:9" s="1" customFormat="1" ht="22.35" customHeight="1" x14ac:dyDescent="0.25">
      <c r="A20" s="19" t="s">
        <v>30</v>
      </c>
      <c r="B20" s="20" t="str">
        <f>VLOOKUP($A20,Questions!$A$2:$X$333,2,0)&amp;""</f>
        <v>Country of Company Headquarters</v>
      </c>
      <c r="C20" s="76" t="s">
        <v>1914</v>
      </c>
      <c r="D20" s="32"/>
      <c r="E20" s="33"/>
      <c r="F20" s="50"/>
      <c r="I20" s="35"/>
    </row>
    <row r="21" spans="1:9" s="1" customFormat="1" ht="22.35" customHeight="1" x14ac:dyDescent="0.25">
      <c r="A21" s="19" t="s">
        <v>32</v>
      </c>
      <c r="B21" s="20" t="str">
        <f>VLOOKUP($A21,Questions!$A$2:$X$333,2,0)&amp;""</f>
        <v>Employee Work Locations (all)</v>
      </c>
      <c r="C21" s="76" t="s">
        <v>1915</v>
      </c>
      <c r="D21" s="32"/>
      <c r="E21" s="33"/>
      <c r="F21" s="50"/>
      <c r="I21" s="35"/>
    </row>
    <row r="22" spans="1:9" s="1" customFormat="1" ht="37.35" customHeight="1" thickBot="1" x14ac:dyDescent="0.3">
      <c r="A22" s="63" t="str">
        <f>VLOOKUP(LEFT($A23,4),'Auto Responses'!$N$4:$O$38,2,0)&amp;""</f>
        <v xml:space="preserve"> Company Information</v>
      </c>
      <c r="B22" s="22"/>
      <c r="C22" s="13" t="s">
        <v>1497</v>
      </c>
      <c r="D22" s="13" t="s">
        <v>72</v>
      </c>
      <c r="E22" s="31" t="s">
        <v>848</v>
      </c>
      <c r="F22" s="200" t="s">
        <v>849</v>
      </c>
      <c r="I22" s="35"/>
    </row>
    <row r="23" spans="1:9" s="1" customFormat="1" ht="55.5" customHeight="1" x14ac:dyDescent="0.25">
      <c r="A23" s="19" t="s">
        <v>35</v>
      </c>
      <c r="B23" s="18" t="str">
        <f>VLOOKUP($A23,Questions!$A$2:$X$333,2,0)&amp;""</f>
        <v>Do you have a dedicated software and system development team(s) (e.g., customer support, implementation, product management, etc.)?*</v>
      </c>
      <c r="C23" s="21" t="s">
        <v>40</v>
      </c>
      <c r="D23" s="313" t="s">
        <v>1920</v>
      </c>
      <c r="E23" s="167" t="str">
        <f>IF($C23='Auto Responses'!$J$3,VLOOKUP($A23,Questions!$A$2:$X$333,17,0)&amp;"",IF($C23='Auto Responses'!$J$4,VLOOKUP($A23,Questions!$A$2:$X$333,16,0)&amp;"",VLOOKUP($A23,Questions!$A$2:$X$333,15,0)&amp;""))</f>
        <v>Describe the structure and size of your software and system development teams. (e.g., customer support, implementation, product management, etc.).</v>
      </c>
      <c r="F23" s="201" t="str">
        <f>VLOOKUP($A23,'Institution Evaluation'!$A$56:$F$345,6,0)&amp;""</f>
        <v/>
      </c>
      <c r="I23" s="35"/>
    </row>
    <row r="24" spans="1:9" s="1" customFormat="1" ht="179.4" x14ac:dyDescent="0.25">
      <c r="A24" s="19" t="s">
        <v>42</v>
      </c>
      <c r="B24" s="18" t="str">
        <f>VLOOKUP($A24,Questions!$A$2:$X$333,2,0)&amp;""</f>
        <v>Describe your organization’s business background and ownership structure, including all parent and subsidiary relationships.</v>
      </c>
      <c r="C24" s="337" t="s">
        <v>1918</v>
      </c>
      <c r="D24" s="313"/>
      <c r="E24" s="167" t="str">
        <f>IF($C24='Auto Responses'!$J$3,VLOOKUP($A24,Questions!$A$2:$X$333,17,0)&amp;"",IF($C24='Auto Responses'!$J$4,VLOOKUP($A24,Questions!$A$2:$X$333,16,0)&amp;"",VLOOKUP($A24,Questions!$A$2:$X$333,15,0)&amp;""))</f>
        <v>Include circumstances that may involve offshoring or multinational agreements.</v>
      </c>
      <c r="F24" s="201" t="str">
        <f>VLOOKUP($A24,'Institution Evaluation'!$A$56:$F$345,6,0)&amp;""</f>
        <v/>
      </c>
      <c r="I24" s="35"/>
    </row>
    <row r="25" spans="1:9" s="1" customFormat="1" ht="39.75" customHeight="1" x14ac:dyDescent="0.25">
      <c r="A25" s="19" t="s">
        <v>44</v>
      </c>
      <c r="B25" s="18" t="str">
        <f>VLOOKUP($A25,Questions!$A$2:$X$333,2,0)&amp;""</f>
        <v>Have you operated without unplanned disruptions to this solution in the past 12 months?</v>
      </c>
      <c r="C25" s="21" t="s">
        <v>148</v>
      </c>
      <c r="D25" s="313"/>
      <c r="E25" s="167" t="str">
        <f>IF($C25='Auto Responses'!$J$3,VLOOKUP($A25,Questions!$A$2:$X$333,17,0)&amp;"",IF($C25='Auto Responses'!$J$4,VLOOKUP($A25,Questions!$A$2:$X$333,16,0)&amp;"",VLOOKUP($A25,Questions!$A$2:$X$333,15,0)&amp;""))</f>
        <v>Provide a detailed summary of the unplanned disruption.</v>
      </c>
      <c r="F25" s="201" t="str">
        <f>VLOOKUP($A25,'Institution Evaluation'!$A$56:$F$345,6,0)&amp;""</f>
        <v/>
      </c>
      <c r="I25" s="35"/>
    </row>
    <row r="26" spans="1:9" s="1" customFormat="1" ht="49.5" customHeight="1" x14ac:dyDescent="0.25">
      <c r="A26" s="19" t="s">
        <v>45</v>
      </c>
      <c r="B26" s="18" t="str">
        <f>VLOOKUP($A26,Questions!$A$2:$X$333,2,0)&amp;""</f>
        <v>Do you have a dedicated information security staff or office?</v>
      </c>
      <c r="C26" s="21" t="s">
        <v>40</v>
      </c>
      <c r="D26" s="364" t="s">
        <v>1919</v>
      </c>
      <c r="E26" s="167" t="str">
        <f>IF($C26='Auto Responses'!$J$3,VLOOKUP($A26,Questions!$A$2:$X$333,17,0)&amp;"",IF($C26='Auto Responses'!$J$4,VLOOKUP($A26,Questions!$A$2:$X$333,16,0)&amp;"",VLOOKUP($A26,Questions!$A$2:$X$333,15,0)&amp;""))</f>
        <v>Describe your information security office, including size, talents, resources, etc.</v>
      </c>
      <c r="F26" s="201" t="str">
        <f>VLOOKUP($A26,'Institution Evaluation'!$A$56:$F$345,6,0)&amp;""</f>
        <v/>
      </c>
      <c r="I26" s="35"/>
    </row>
    <row r="27" spans="1:9" s="1" customFormat="1" ht="290.39999999999998" thickBot="1" x14ac:dyDescent="0.3">
      <c r="A27" s="19" t="s">
        <v>47</v>
      </c>
      <c r="B27" s="18" t="str">
        <f>VLOOKUP($A27,Questions!$A$2:$X$333,2,0)&amp;""</f>
        <v>Use this area to share information about your environment that will assist those who are assessing your company's data security program.</v>
      </c>
      <c r="C27" s="336" t="s">
        <v>1921</v>
      </c>
      <c r="D27" s="313"/>
      <c r="E27" s="167" t="str">
        <f>IF($C27='Auto Responses'!$J$3,VLOOKUP($A27,Questions!$A$2:$X$333,17,0)&amp;"",IF($C27='Auto Responses'!$J$4,VLOOKUP($A27,Questions!$A$2:$X$333,16,0)&amp;"",VLOOKUP($A27,Questions!$A$2:$X$333,15,0)&amp;""))</f>
        <v>Share any details that would help information security analysts assess your solution.</v>
      </c>
      <c r="F27" s="201" t="str">
        <f>VLOOKUP($A27,'Institution Evaluation'!$A$56:$F$345,6,0)&amp;""</f>
        <v/>
      </c>
      <c r="G27" s="238" t="s">
        <v>1449</v>
      </c>
      <c r="I27" s="35"/>
    </row>
    <row r="28" spans="1:9" s="1" customFormat="1" ht="37.35" customHeight="1" thickBot="1" x14ac:dyDescent="0.3">
      <c r="A28" s="63" t="str">
        <f>VLOOKUP(LEFT($A29,4),'Auto Responses'!$N$4:$O$38,2,0)&amp;""</f>
        <v xml:space="preserve"> Required Questions</v>
      </c>
      <c r="B28" s="22"/>
      <c r="C28" s="13" t="s">
        <v>1497</v>
      </c>
      <c r="D28" s="13" t="s">
        <v>72</v>
      </c>
      <c r="E28" s="31" t="s">
        <v>848</v>
      </c>
      <c r="F28" s="187" t="s">
        <v>849</v>
      </c>
      <c r="I28" s="35"/>
    </row>
    <row r="29" spans="1:9" s="1" customFormat="1" ht="48" customHeight="1" x14ac:dyDescent="0.25">
      <c r="A29" s="19" t="s">
        <v>48</v>
      </c>
      <c r="B29" s="18" t="str">
        <f>VLOOKUP($A29,Questions!$A$2:$X$333,2,0)&amp;""</f>
        <v>Are you offering a cloud-based product?</v>
      </c>
      <c r="C29" s="21" t="s">
        <v>40</v>
      </c>
      <c r="D29" s="39"/>
      <c r="E29" s="167" t="str">
        <f>IF($C29='Auto Responses'!$J$3,VLOOKUP($A29,Questions!$A$2:$X$333,17,0)&amp;"",IF($C29='Auto Responses'!$J$4,VLOOKUP($A29,Questions!$A$2:$X$333,16,0)&amp;"",VLOOKUP($A29,Questions!$A$2:$X$333,15,0)&amp;""))</f>
        <v>DO complete the Product and Infrastructure worksheets</v>
      </c>
      <c r="F29" s="201" t="str">
        <f>VLOOKUP($A29,'Institution Evaluation'!$A$56:$F$345,6,0)&amp;""</f>
        <v/>
      </c>
      <c r="I29" s="35"/>
    </row>
    <row r="30" spans="1:9" s="1" customFormat="1" ht="58.5" customHeight="1" x14ac:dyDescent="0.25">
      <c r="A30" s="19" t="s">
        <v>51</v>
      </c>
      <c r="B30" s="18" t="str">
        <f>VLOOKUP($A30,Questions!$A$2:$X$333,2,0)&amp;""</f>
        <v>Does your product or service have an interface?</v>
      </c>
      <c r="C30" s="21" t="s">
        <v>40</v>
      </c>
      <c r="D30" s="39" t="s">
        <v>1922</v>
      </c>
      <c r="E30" s="167" t="str">
        <f>IF($C30='Auto Responses'!$J$3,VLOOKUP($A30,Questions!$A$2:$X$333,17,0)&amp;"",IF($C30='Auto Responses'!$J$4,VLOOKUP($A30,Questions!$A$2:$X$333,16,0)&amp;"",VLOOKUP($A30,Questions!$A$2:$X$333,15,0)&amp;""))</f>
        <v>DO complete the IT Accessibility worksheet.</v>
      </c>
      <c r="F30" s="201" t="str">
        <f>VLOOKUP($A30,'Institution Evaluation'!$A$56:$F$345,6,0)&amp;""</f>
        <v/>
      </c>
      <c r="I30" s="35"/>
    </row>
    <row r="31" spans="1:9" s="1" customFormat="1" ht="54" customHeight="1" x14ac:dyDescent="0.25">
      <c r="A31" s="19" t="s">
        <v>54</v>
      </c>
      <c r="B31" s="18" t="str">
        <f>VLOOKUP($A31,Questions!$A$2:$X$333,2,0)&amp;""</f>
        <v>Are you providing consulting services?</v>
      </c>
      <c r="C31" s="21" t="s">
        <v>148</v>
      </c>
      <c r="D31" s="39"/>
      <c r="E31" s="167" t="str">
        <f>IF($C31='Auto Responses'!$J$3,VLOOKUP($A31,Questions!$A$2:$X$333,17,0)&amp;"",IF($C31='Auto Responses'!$J$4,VLOOKUP($A31,Questions!$A$2:$X$333,16,0)&amp;"",VLOOKUP($A31,Questions!$A$2:$X$333,15,0)&amp;""))</f>
        <v>DO NOT complete the Consulting section in the Case-Specific worksheet</v>
      </c>
      <c r="F31" s="201" t="str">
        <f>VLOOKUP($A31,'Institution Evaluation'!$A$56:$F$345,6,0)&amp;""</f>
        <v/>
      </c>
      <c r="I31" s="35"/>
    </row>
    <row r="32" spans="1:9" s="1" customFormat="1" ht="54" customHeight="1" x14ac:dyDescent="0.25">
      <c r="A32" s="19" t="s">
        <v>58</v>
      </c>
      <c r="B32" s="18" t="str">
        <f>VLOOKUP($A32,Questions!$A$2:$X$333,2,0)&amp;""</f>
        <v>Does your solution have AI features, or are there plans to implement AI features in the next 12 months?</v>
      </c>
      <c r="C32" s="21" t="s">
        <v>40</v>
      </c>
      <c r="D32" s="39" t="s">
        <v>1923</v>
      </c>
      <c r="E32" s="167" t="str">
        <f>IF($C32='Auto Responses'!$J$3,VLOOKUP($A32,Questions!$A$2:$X$333,17,0)&amp;"",IF($C32='Auto Responses'!$J$4,VLOOKUP($A32,Questions!$A$2:$X$333,16,0)&amp;"",VLOOKUP($A32,Questions!$A$2:$X$333,15,0)&amp;""))</f>
        <v>DO complete the Artificial Intelligence (AI) worksheet</v>
      </c>
      <c r="F32" s="201" t="str">
        <f>VLOOKUP($A32,'Institution Evaluation'!$A$56:$F$345,6,0)&amp;""</f>
        <v/>
      </c>
      <c r="I32" s="35"/>
    </row>
    <row r="33" spans="1:10" s="1" customFormat="1" ht="54" customHeight="1" x14ac:dyDescent="0.25">
      <c r="A33" s="19" t="s">
        <v>61</v>
      </c>
      <c r="B33" s="18" t="str">
        <f>VLOOKUP($A33,Questions!$A$2:$X$333,2,0)&amp;""</f>
        <v>Does your solution process protected health information (PHI) or any data covered by the Health Insurance Portability and Accountability Act (HIPAA)?</v>
      </c>
      <c r="C33" s="21" t="s">
        <v>148</v>
      </c>
      <c r="D33" s="39"/>
      <c r="E33" s="167" t="str">
        <f>IF($C33='Auto Responses'!$J$3,VLOOKUP($A33,Questions!$A$2:$X$333,17,0)&amp;"",IF($C33='Auto Responses'!$J$4,VLOOKUP($A33,Questions!$A$2:$X$333,16,0)&amp;"",VLOOKUP($A33,Questions!$A$2:$X$333,15,0)&amp;""))</f>
        <v>DO NOT complete the HIPAA section in the Case-Specific worksheet</v>
      </c>
      <c r="F33" s="201" t="str">
        <f>VLOOKUP($A33,'Institution Evaluation'!$A$56:$F$345,6,0)&amp;""</f>
        <v/>
      </c>
      <c r="I33" s="35"/>
    </row>
    <row r="34" spans="1:10" s="1" customFormat="1" ht="54" customHeight="1" x14ac:dyDescent="0.25">
      <c r="A34" s="19" t="s">
        <v>64</v>
      </c>
      <c r="B34" s="18" t="str">
        <f>VLOOKUP($A34,Questions!$A$2:$X$333,2,0)&amp;""</f>
        <v>Is the solution designed to process, store, or transmit credit card information?</v>
      </c>
      <c r="C34" s="21" t="s">
        <v>148</v>
      </c>
      <c r="D34" s="39"/>
      <c r="E34" s="167" t="str">
        <f>IF($C34='Auto Responses'!$J$3,VLOOKUP($A34,Questions!$A$2:$X$333,17,0)&amp;"",IF($C34='Auto Responses'!$J$4,VLOOKUP($A34,Questions!$A$2:$X$333,16,0)&amp;"",VLOOKUP($A34,Questions!$A$2:$X$333,15,0)&amp;""))</f>
        <v>DO NOT complete the PCI-DSS section in the Case-Specific worksheet</v>
      </c>
      <c r="F34" s="201" t="str">
        <f>VLOOKUP($A34,'Institution Evaluation'!$A$56:$F$345,6,0)&amp;""</f>
        <v/>
      </c>
      <c r="I34" s="35"/>
    </row>
    <row r="35" spans="1:10" s="1" customFormat="1" ht="66" customHeight="1" x14ac:dyDescent="0.25">
      <c r="A35" s="19" t="s">
        <v>67</v>
      </c>
      <c r="B35" s="18" t="str">
        <f>VLOOKUP($A35,Questions!$A$2:$X$333,2,0)&amp;""</f>
        <v>Does operating your solution require the institution to operate a physical or virtual appliance in their own environment or to provide inbound firewall exceptions to allow your employees to remotely administer systems in the institution's environment?</v>
      </c>
      <c r="C35" s="21" t="s">
        <v>148</v>
      </c>
      <c r="D35" s="39"/>
      <c r="E35" s="167" t="str">
        <f>IF($C35='Auto Responses'!$J$3,VLOOKUP($A35,Questions!$A$2:$X$333,17,0)&amp;"",IF($C35='Auto Responses'!$J$4,VLOOKUP($A35,Questions!$A$2:$X$333,16,0)&amp;"",VLOOKUP($A35,Questions!$A$2:$X$333,15,0)&amp;""))</f>
        <v>DO NOT complete the On-Prem section in the Case-Specific worksheet</v>
      </c>
      <c r="F35" s="201" t="str">
        <f>VLOOKUP($A35,'Institution Evaluation'!$A$56:$F$345,6,0)&amp;""</f>
        <v/>
      </c>
      <c r="I35" s="35"/>
    </row>
    <row r="36" spans="1:10" s="1" customFormat="1" ht="63.75" customHeight="1" x14ac:dyDescent="0.25">
      <c r="A36" s="155" t="s">
        <v>968</v>
      </c>
      <c r="B36" s="18" t="str">
        <f>VLOOKUP($A36,Questions!$A$2:$X$333,2,0)&amp;""</f>
        <v>Does your solution have access to personal or institutional data?</v>
      </c>
      <c r="C36" s="21" t="s">
        <v>40</v>
      </c>
      <c r="D36" s="39" t="s">
        <v>1924</v>
      </c>
      <c r="E36" s="167" t="str">
        <f>IF($C36='Auto Responses'!$J$3,VLOOKUP($A36,Questions!$A$2:$X$333,17,0)&amp;"",IF($C36='Auto Responses'!$J$4,VLOOKUP($A36,Questions!$A$2:$X$333,16,0)&amp;"",VLOOKUP($A36,Questions!$A$2:$X$333,15,0)&amp;""))</f>
        <v>DO complete the Privacy tab</v>
      </c>
      <c r="F36" s="201" t="str">
        <f>VLOOKUP($A36,'Institution Evaluation'!$A$56:$F$345,6,0)&amp;""</f>
        <v/>
      </c>
      <c r="G36" s="238" t="s">
        <v>1449</v>
      </c>
      <c r="H36" s="35"/>
      <c r="J36" s="35"/>
    </row>
    <row r="37" spans="1:10" s="171" customFormat="1" ht="63.75" customHeight="1" x14ac:dyDescent="0.25">
      <c r="A37" s="245" t="s">
        <v>1467</v>
      </c>
      <c r="B37" s="253"/>
      <c r="C37" s="254"/>
      <c r="D37" s="255"/>
      <c r="E37" s="256"/>
      <c r="F37" s="257"/>
      <c r="G37" s="258"/>
      <c r="H37" s="172"/>
      <c r="J37" s="172"/>
    </row>
    <row r="38" spans="1:10" ht="24.75" customHeight="1" x14ac:dyDescent="0.25">
      <c r="A38" s="267" t="s">
        <v>1507</v>
      </c>
    </row>
    <row r="39" spans="1:10" ht="15" hidden="1" customHeight="1" x14ac:dyDescent="0.25"/>
    <row r="74" ht="15" hidden="1" customHeight="1" x14ac:dyDescent="0.25"/>
    <row r="75" ht="15" hidden="1" customHeight="1" x14ac:dyDescent="0.25"/>
  </sheetData>
  <phoneticPr fontId="26" type="noConversion"/>
  <dataValidations count="2">
    <dataValidation allowBlank="1" showInputMessage="1" showErrorMessage="1" promptTitle="Warning!" prompt="The HECVAT is built using a number of complex formulas. Editing this cell can break the functionality of the tool. " sqref="C28:D28 C2:F2 C4:F12 C22:F22 A3:A38 B1:B38 A1 E23:F36" xr:uid="{A6718379-8163-48CF-875B-B0E3FCD41C9E}"/>
    <dataValidation allowBlank="1" showInputMessage="1" showErrorMessage="1" prompt="This cell should be left blank. Input your answer in column C." sqref="D24 D27 D3:F3 D16 D13:F15 D18:F21 E16:F17" xr:uid="{D49D790A-2236-4562-8A1A-C1D1B1C43217}"/>
  </dataValidations>
  <hyperlinks>
    <hyperlink ref="A11" r:id="rId1" display="http://www.educause.edu/HECVAT" xr:uid="{C8C809B9-E9A3-4614-BD81-E36A46E9EC44}"/>
    <hyperlink ref="C18" r:id="rId2" xr:uid="{5A7E957D-F1D3-4A35-8C81-B03946773C4C}"/>
  </hyperlinks>
  <pageMargins left="0.75" right="0.75" top="1" bottom="1" header="0.5" footer="0.5"/>
  <pageSetup orientation="landscape" r:id="rId3"/>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243AC80-4E0C-4331-B186-AF166D479850}">
          <x14:formula1>
            <xm:f>'Auto Responses'!$J$3:$J$4</xm:f>
          </x14:formula1>
          <xm:sqref>C29:C37 C25:C26</xm:sqref>
        </x14:dataValidation>
        <x14:dataValidation type="list" allowBlank="1" showInputMessage="1" showErrorMessage="1" xr:uid="{16A53367-ED0A-4B2E-B21D-CCE0E7E27FDD}">
          <x14:formula1>
            <xm:f>'Auto Responses'!$J$3:$J$5</xm:f>
          </x14:formula1>
          <xm:sqref>C23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CCD4C-2221-4279-8401-0FFFE36871FD}">
  <sheetPr>
    <tabColor rgb="FFE0B233"/>
  </sheetPr>
  <dimension ref="A1:LZ696"/>
  <sheetViews>
    <sheetView showGridLines="0" showZeros="0" topLeftCell="A19" zoomScale="80" zoomScaleNormal="80" workbookViewId="0">
      <selection activeCell="A2" sqref="A2"/>
    </sheetView>
  </sheetViews>
  <sheetFormatPr defaultColWidth="0" defaultRowHeight="16.2" zeroHeight="1" x14ac:dyDescent="0.3"/>
  <cols>
    <col min="1" max="1" width="8.07421875" style="55" customWidth="1"/>
    <col min="2" max="2" width="21.69140625" style="55" customWidth="1"/>
    <col min="3" max="3" width="27.69140625" style="55" customWidth="1"/>
    <col min="4" max="4" width="21.4609375" style="55" bestFit="1" customWidth="1"/>
    <col min="5" max="5" width="21.3828125" style="55" bestFit="1" customWidth="1"/>
    <col min="6" max="6" width="17" style="55" customWidth="1"/>
    <col min="7" max="7" width="2.23046875" style="55" customWidth="1"/>
    <col min="8" max="8" width="6.4609375" style="55" customWidth="1"/>
    <col min="9" max="9" width="8.3828125" style="55" bestFit="1" customWidth="1"/>
    <col min="10" max="10" width="31.07421875" style="55" customWidth="1"/>
    <col min="11" max="13" width="22.69140625" style="55" customWidth="1"/>
    <col min="14" max="14" width="8.4609375" style="55" customWidth="1"/>
    <col min="15" max="15" width="8.3046875" style="55" hidden="1" customWidth="1"/>
    <col min="16" max="16" width="8.23046875" style="55" hidden="1" customWidth="1"/>
    <col min="17" max="17" width="8.3828125" style="55" hidden="1" customWidth="1"/>
    <col min="18" max="24" width="8.4609375" style="55" hidden="1" customWidth="1"/>
    <col min="25" max="25" width="8.3828125" style="55" hidden="1" customWidth="1"/>
    <col min="26" max="26" width="8.3046875" style="55" hidden="1" customWidth="1"/>
    <col min="27" max="28" width="8.4609375" style="55" hidden="1" customWidth="1"/>
    <col min="29" max="29" width="8.23046875" style="55" hidden="1" customWidth="1"/>
    <col min="30" max="30" width="8.4609375" style="55" hidden="1" customWidth="1"/>
    <col min="31" max="32" width="8.3828125" style="55" hidden="1" customWidth="1"/>
    <col min="33" max="34" width="8.4609375" style="55" hidden="1" customWidth="1"/>
    <col min="35" max="35" width="10.61328125" style="55" hidden="1" customWidth="1"/>
    <col min="36" max="43" width="8.4609375" style="55" hidden="1" customWidth="1"/>
    <col min="44" max="46" width="8.3828125" style="55" hidden="1" customWidth="1"/>
    <col min="47" max="47" width="8.4609375" style="55" hidden="1" customWidth="1"/>
    <col min="48" max="48" width="8.3828125" style="55" hidden="1" customWidth="1"/>
    <col min="49" max="53" width="8.4609375" style="55" hidden="1" customWidth="1"/>
    <col min="54" max="54" width="8.69140625" style="55" hidden="1" customWidth="1"/>
    <col min="55" max="55" width="8.4609375" style="55" hidden="1" customWidth="1"/>
    <col min="56" max="56" width="8.3046875" style="55" hidden="1" customWidth="1"/>
    <col min="57" max="57" width="8.4609375" style="55" hidden="1" customWidth="1"/>
    <col min="58" max="60" width="8.3828125" style="55" hidden="1" customWidth="1"/>
    <col min="61" max="63" width="8.4609375" style="55" hidden="1" customWidth="1"/>
    <col min="64" max="64" width="17.3828125" style="55" hidden="1" customWidth="1"/>
    <col min="65" max="68" width="8.4609375" style="55" hidden="1" customWidth="1"/>
    <col min="69" max="70" width="8.3828125" style="55" hidden="1" customWidth="1"/>
    <col min="71" max="90" width="8.4609375" style="55" hidden="1" customWidth="1"/>
    <col min="91" max="91" width="11.4609375" style="55" hidden="1" customWidth="1"/>
    <col min="92" max="94" width="8.4609375" style="55" hidden="1" customWidth="1"/>
    <col min="95" max="95" width="8.3828125" style="55" hidden="1" customWidth="1"/>
    <col min="96" max="96" width="11.3828125" style="55" hidden="1" customWidth="1"/>
    <col min="97" max="97" width="8.4609375" style="55" hidden="1" customWidth="1"/>
    <col min="98" max="98" width="8.23046875" style="55" hidden="1" customWidth="1"/>
    <col min="99" max="100" width="8.3828125" style="55" hidden="1" customWidth="1"/>
    <col min="101" max="102" width="8.4609375" style="55" hidden="1" customWidth="1"/>
    <col min="103" max="103" width="8.921875" style="55" hidden="1" customWidth="1"/>
    <col min="104" max="109" width="8.4609375" style="55" hidden="1" customWidth="1"/>
    <col min="110" max="111" width="8.3828125" style="55" hidden="1" customWidth="1"/>
    <col min="112" max="114" width="8.4609375" style="55" hidden="1" customWidth="1"/>
    <col min="115" max="116" width="8.3828125" style="55" hidden="1" customWidth="1"/>
    <col min="117" max="117" width="8.4609375" style="55" hidden="1" customWidth="1"/>
    <col min="118" max="118" width="8.3828125" style="55" hidden="1" customWidth="1"/>
    <col min="119" max="119" width="10.921875" style="55" hidden="1" customWidth="1"/>
    <col min="120" max="124" width="8.4609375" style="55" hidden="1" customWidth="1"/>
    <col min="125" max="125" width="9" style="55" hidden="1" customWidth="1"/>
    <col min="126" max="128" width="8.4609375" style="55" hidden="1" customWidth="1"/>
    <col min="129" max="129" width="8.3828125" style="55" hidden="1" customWidth="1"/>
    <col min="130" max="133" width="8.4609375" style="55" hidden="1" customWidth="1"/>
    <col min="134" max="134" width="10.61328125" style="55" hidden="1" customWidth="1"/>
    <col min="135" max="135" width="8.3828125" style="55" hidden="1" customWidth="1"/>
    <col min="136" max="138" width="8.4609375" style="55" hidden="1" customWidth="1"/>
    <col min="139" max="140" width="8.3828125" style="55" hidden="1" customWidth="1"/>
    <col min="141" max="145" width="8.4609375" style="55" hidden="1" customWidth="1"/>
    <col min="146" max="146" width="8.3828125" style="55" hidden="1" customWidth="1"/>
    <col min="147" max="148" width="8.4609375" style="55" hidden="1" customWidth="1"/>
    <col min="149" max="149" width="8.3828125" style="55" hidden="1" customWidth="1"/>
    <col min="150" max="151" width="8.4609375" style="55" hidden="1" customWidth="1"/>
    <col min="152" max="152" width="8.3046875" style="55" hidden="1" customWidth="1"/>
    <col min="153" max="155" width="8.4609375" style="55" hidden="1" customWidth="1"/>
    <col min="156" max="156" width="8.3828125" style="55" hidden="1" customWidth="1"/>
    <col min="157" max="157" width="14.69140625" style="55" hidden="1" customWidth="1"/>
    <col min="158" max="158" width="8.3828125" style="55" hidden="1" customWidth="1"/>
    <col min="159" max="159" width="12.3828125" style="55" hidden="1" customWidth="1"/>
    <col min="160" max="161" width="8.4609375" style="55" hidden="1" customWidth="1"/>
    <col min="162" max="162" width="8.3828125" style="55" hidden="1" customWidth="1"/>
    <col min="163" max="164" width="8.4609375" style="55" hidden="1" customWidth="1"/>
    <col min="165" max="165" width="8" style="55" hidden="1" customWidth="1"/>
    <col min="166" max="166" width="8.4609375" style="55" hidden="1" customWidth="1"/>
    <col min="167" max="167" width="8.3828125" style="55" hidden="1" customWidth="1"/>
    <col min="168" max="169" width="8.4609375" style="55" hidden="1" customWidth="1"/>
    <col min="170" max="170" width="9" style="55" hidden="1" customWidth="1"/>
    <col min="171" max="171" width="8.23046875" style="55" hidden="1" customWidth="1"/>
    <col min="172" max="172" width="8.3828125" style="55" hidden="1" customWidth="1"/>
    <col min="173" max="173" width="8.4609375" style="55" hidden="1" customWidth="1"/>
    <col min="174" max="174" width="8.3828125" style="55" hidden="1" customWidth="1"/>
    <col min="175" max="175" width="8.4609375" style="55" hidden="1" customWidth="1"/>
    <col min="176" max="176" width="8.3828125" style="55" hidden="1" customWidth="1"/>
    <col min="177" max="177" width="8.3046875" style="55" hidden="1" customWidth="1"/>
    <col min="178" max="179" width="8.4609375" style="55" hidden="1" customWidth="1"/>
    <col min="180" max="180" width="8.23046875" style="55" hidden="1" customWidth="1"/>
    <col min="181" max="181" width="8.3828125" style="55" hidden="1" customWidth="1"/>
    <col min="182" max="183" width="8.4609375" style="55" hidden="1" customWidth="1"/>
    <col min="184" max="184" width="11.921875" style="55" hidden="1" customWidth="1"/>
    <col min="185" max="185" width="9.07421875" style="55" hidden="1" customWidth="1"/>
    <col min="186" max="186" width="8.4609375" style="55" hidden="1" customWidth="1"/>
    <col min="187" max="187" width="10.23046875" style="55" hidden="1" customWidth="1"/>
    <col min="188" max="190" width="8.4609375" style="55" hidden="1" customWidth="1"/>
    <col min="191" max="191" width="8.3828125" style="55" hidden="1" customWidth="1"/>
    <col min="192" max="192" width="8.4609375" style="55" hidden="1" customWidth="1"/>
    <col min="193" max="193" width="8.23046875" style="55" hidden="1" customWidth="1"/>
    <col min="194" max="194" width="8.3828125" style="55" hidden="1" customWidth="1"/>
    <col min="195" max="198" width="8.4609375" style="55" hidden="1" customWidth="1"/>
    <col min="199" max="201" width="8.3828125" style="55" hidden="1" customWidth="1"/>
    <col min="202" max="202" width="8.4609375" style="55" hidden="1" customWidth="1"/>
    <col min="203" max="206" width="8.3828125" style="55" hidden="1" customWidth="1"/>
    <col min="207" max="209" width="8.4609375" style="55" hidden="1" customWidth="1"/>
    <col min="210" max="210" width="8.07421875" style="55" hidden="1" customWidth="1"/>
    <col min="211" max="211" width="8.4609375" style="55" hidden="1" customWidth="1"/>
    <col min="212" max="213" width="8.3828125" style="55" hidden="1" customWidth="1"/>
    <col min="214" max="214" width="7.921875" style="55" hidden="1" customWidth="1"/>
    <col min="215" max="216" width="8.4609375" style="55" hidden="1" customWidth="1"/>
    <col min="217" max="217" width="8.3828125" style="55" hidden="1" customWidth="1"/>
    <col min="218" max="219" width="8.4609375" style="55" hidden="1" customWidth="1"/>
    <col min="220" max="220" width="8.3828125" style="55" hidden="1" customWidth="1"/>
    <col min="221" max="221" width="8.23046875" style="55" hidden="1" customWidth="1"/>
    <col min="222" max="222" width="8.3828125" style="55" hidden="1" customWidth="1"/>
    <col min="223" max="224" width="8.4609375" style="55" hidden="1" customWidth="1"/>
    <col min="225" max="225" width="8.3828125" style="55" hidden="1" customWidth="1"/>
    <col min="226" max="227" width="8.4609375" style="55" hidden="1" customWidth="1"/>
    <col min="228" max="231" width="8.3828125" style="55" hidden="1" customWidth="1"/>
    <col min="232" max="233" width="8.4609375" style="55" hidden="1" customWidth="1"/>
    <col min="234" max="234" width="8.3828125" style="55" hidden="1" customWidth="1"/>
    <col min="235" max="235" width="8.3046875" style="55" hidden="1" customWidth="1"/>
    <col min="236" max="236" width="8.3828125" style="55" hidden="1" customWidth="1"/>
    <col min="237" max="237" width="8.4609375" style="55" hidden="1" customWidth="1"/>
    <col min="238" max="238" width="8.3046875" style="55" hidden="1" customWidth="1"/>
    <col min="239" max="242" width="8.3828125" style="55" hidden="1" customWidth="1"/>
    <col min="243" max="243" width="10.07421875" style="55" hidden="1" customWidth="1"/>
    <col min="244" max="244" width="8.3828125" style="55" hidden="1" customWidth="1"/>
    <col min="245" max="249" width="8.4609375" style="55" hidden="1" customWidth="1"/>
    <col min="250" max="250" width="8.3828125" style="55" hidden="1" customWidth="1"/>
    <col min="251" max="254" width="8.4609375" style="55" hidden="1" customWidth="1"/>
    <col min="255" max="256" width="8.3828125" style="55" hidden="1" customWidth="1"/>
    <col min="257" max="259" width="8.4609375" style="55" hidden="1" customWidth="1"/>
    <col min="260" max="261" width="8.3828125" style="55" hidden="1" customWidth="1"/>
    <col min="262" max="263" width="8.4609375" style="55" hidden="1" customWidth="1"/>
    <col min="264" max="264" width="8.3046875" style="55" hidden="1" customWidth="1"/>
    <col min="265" max="265" width="8.4609375" style="55" hidden="1" customWidth="1"/>
    <col min="266" max="266" width="8.3828125" style="55" hidden="1" customWidth="1"/>
    <col min="267" max="267" width="8.4609375" style="55" hidden="1" customWidth="1"/>
    <col min="268" max="268" width="8.921875" style="55" hidden="1" customWidth="1"/>
    <col min="269" max="269" width="10.3828125" style="55" hidden="1" customWidth="1"/>
    <col min="270" max="270" width="8.4609375" style="55" hidden="1" customWidth="1"/>
    <col min="271" max="273" width="8.3828125" style="55" hidden="1" customWidth="1"/>
    <col min="274" max="276" width="8.4609375" style="55" hidden="1" customWidth="1"/>
    <col min="277" max="277" width="8.3046875" style="55" hidden="1" customWidth="1"/>
    <col min="278" max="278" width="8.3828125" style="55" hidden="1" customWidth="1"/>
    <col min="279" max="282" width="8.4609375" style="55" hidden="1" customWidth="1"/>
    <col min="283" max="283" width="8.3046875" style="55" hidden="1" customWidth="1"/>
    <col min="284" max="284" width="8.3828125" style="55" hidden="1" customWidth="1"/>
    <col min="285" max="286" width="8.3046875" style="55" hidden="1" customWidth="1"/>
    <col min="287" max="288" width="8.3828125" style="55" hidden="1" customWidth="1"/>
    <col min="289" max="295" width="8.4609375" style="55" hidden="1" customWidth="1"/>
    <col min="296" max="296" width="8.07421875" style="55" hidden="1" customWidth="1"/>
    <col min="297" max="297" width="8.4609375" style="55" hidden="1" customWidth="1"/>
    <col min="298" max="298" width="7.921875" style="55" hidden="1" customWidth="1"/>
    <col min="299" max="300" width="8.4609375" style="55" hidden="1" customWidth="1"/>
    <col min="301" max="304" width="8.3046875" style="55" hidden="1" customWidth="1"/>
    <col min="305" max="308" width="8.23046875" style="55" hidden="1" customWidth="1"/>
    <col min="309" max="309" width="7.61328125" style="55" hidden="1" customWidth="1"/>
    <col min="310" max="310" width="8.3828125" style="55" hidden="1" customWidth="1"/>
    <col min="311" max="311" width="8.3046875" style="55" hidden="1" customWidth="1"/>
    <col min="312" max="313" width="8.3828125" style="55" hidden="1" customWidth="1"/>
    <col min="314" max="314" width="8.4609375" style="55" hidden="1" customWidth="1"/>
    <col min="315" max="315" width="8.3828125" style="55" hidden="1" customWidth="1"/>
    <col min="316" max="316" width="8.4609375" style="55" hidden="1" customWidth="1"/>
    <col min="317" max="318" width="8.3828125" style="55" hidden="1" customWidth="1"/>
    <col min="319" max="319" width="8.4609375" style="55" hidden="1" customWidth="1"/>
    <col min="320" max="321" width="8.3828125" style="55" hidden="1" customWidth="1"/>
    <col min="322" max="324" width="8.4609375" style="55" hidden="1" customWidth="1"/>
    <col min="325" max="325" width="8.3828125" style="55" hidden="1" customWidth="1"/>
    <col min="326" max="329" width="8.4609375" style="55" hidden="1" customWidth="1"/>
    <col min="330" max="330" width="9.3828125" style="55" hidden="1" customWidth="1"/>
    <col min="331" max="334" width="8.4609375" style="55" hidden="1" customWidth="1"/>
    <col min="335" max="335" width="8.3828125" style="55" hidden="1" customWidth="1"/>
    <col min="336" max="336" width="8.4609375" style="55" hidden="1" customWidth="1"/>
    <col min="337" max="337" width="8.3828125" style="55" hidden="1" customWidth="1"/>
    <col min="338" max="338" width="6.4609375" style="55" hidden="1" customWidth="1"/>
    <col min="339" max="16384" width="8.4609375" style="55" hidden="1"/>
  </cols>
  <sheetData>
    <row r="1" spans="1:13" hidden="1" x14ac:dyDescent="0.3">
      <c r="A1" s="240" t="s">
        <v>1452</v>
      </c>
    </row>
    <row r="2" spans="1:13" ht="36" customHeight="1" x14ac:dyDescent="0.3">
      <c r="A2" s="176" t="s">
        <v>1479</v>
      </c>
      <c r="B2" s="176"/>
      <c r="C2" s="176"/>
      <c r="D2" s="176"/>
      <c r="E2" s="176"/>
      <c r="F2" s="176"/>
      <c r="G2" s="176"/>
      <c r="H2" s="176"/>
      <c r="I2" s="177"/>
      <c r="J2" s="177"/>
      <c r="K2" s="177" t="str">
        <f>'Auto Responses'!$A$36</f>
        <v>Version 4.1.5</v>
      </c>
      <c r="L2" s="177"/>
      <c r="M2" s="177"/>
    </row>
    <row r="3" spans="1:13" ht="22.5" customHeight="1" x14ac:dyDescent="0.3">
      <c r="A3" s="98"/>
      <c r="B3" s="98"/>
      <c r="C3" s="98"/>
      <c r="D3" s="98"/>
      <c r="E3" s="98"/>
      <c r="F3" s="98"/>
      <c r="G3" s="98"/>
      <c r="H3" s="98"/>
      <c r="I3" s="98"/>
      <c r="J3" s="98"/>
      <c r="K3" s="98"/>
      <c r="L3" s="98"/>
      <c r="M3" s="98"/>
    </row>
    <row r="4" spans="1:13" ht="36" customHeight="1" x14ac:dyDescent="0.3">
      <c r="A4" s="99" t="s">
        <v>1402</v>
      </c>
      <c r="B4" s="100"/>
      <c r="C4" s="100"/>
      <c r="D4" s="100"/>
      <c r="E4" s="100"/>
      <c r="F4" s="100"/>
      <c r="G4" s="100"/>
      <c r="H4" s="100"/>
      <c r="I4" s="100"/>
      <c r="J4" s="100"/>
      <c r="K4" s="100"/>
      <c r="L4" s="100"/>
      <c r="M4" s="100"/>
    </row>
    <row r="5" spans="1:13" ht="19.5" customHeight="1" x14ac:dyDescent="0.3">
      <c r="A5" s="296" t="str">
        <f>HLOOKUP($A$4,'Auto Responses'!$H$2:$H$5,2,0)&amp;""</f>
        <v xml:space="preserve">1. The scorecard below reflects those questions marked as "Critical Importance" or those where the "Non-Negotiable" box was checked. </v>
      </c>
      <c r="B5" s="165"/>
      <c r="C5" s="165"/>
      <c r="D5" s="165"/>
      <c r="E5" s="165"/>
      <c r="F5" s="165"/>
      <c r="G5" s="165"/>
      <c r="H5" s="165"/>
      <c r="I5" s="165"/>
      <c r="J5" s="61"/>
      <c r="K5" s="61"/>
      <c r="L5" s="61"/>
      <c r="M5" s="61"/>
    </row>
    <row r="6" spans="1:13" s="237" customFormat="1" ht="19.5" customHeight="1" x14ac:dyDescent="0.3">
      <c r="A6" s="296" t="str">
        <f>HLOOKUP($A$4,'Auto Responses'!$H$2:$H$5,3,0)&amp;""</f>
        <v xml:space="preserve">2. Use these condensed, aggregated views to review those questions that pose the highest risk. </v>
      </c>
      <c r="B6" s="296"/>
      <c r="C6" s="296"/>
      <c r="D6" s="296"/>
      <c r="E6" s="296"/>
      <c r="F6" s="296"/>
      <c r="G6" s="296"/>
      <c r="H6" s="296"/>
      <c r="I6" s="296"/>
      <c r="J6" s="297"/>
      <c r="K6" s="297"/>
      <c r="L6" s="297"/>
      <c r="M6" s="297"/>
    </row>
    <row r="7" spans="1:13" ht="19.5" customHeight="1" x14ac:dyDescent="0.3">
      <c r="A7" s="296" t="str">
        <f>HLOOKUP($A$4,'Auto Responses'!$H$2:$H$5,4,0)&amp;""</f>
        <v>3. Changes cannot be made in this sheet. Please make changes in the appropriate "Evaluation" tab.</v>
      </c>
      <c r="B7" s="165"/>
      <c r="C7" s="165"/>
      <c r="D7" s="165"/>
      <c r="E7" s="165"/>
      <c r="F7" s="165"/>
      <c r="G7" s="165"/>
      <c r="H7" s="165"/>
      <c r="I7" s="165"/>
      <c r="J7" s="61"/>
      <c r="K7" s="61"/>
      <c r="L7" s="61"/>
      <c r="M7" s="61"/>
    </row>
    <row r="8" spans="1:13" ht="19.5" customHeight="1" thickBot="1" x14ac:dyDescent="0.35">
      <c r="A8" s="246" t="s">
        <v>1524</v>
      </c>
      <c r="B8" s="165"/>
      <c r="C8" s="165"/>
      <c r="D8" s="165"/>
      <c r="E8" s="165"/>
      <c r="F8" s="165"/>
      <c r="G8" s="165"/>
      <c r="H8" s="165"/>
      <c r="I8" s="165"/>
      <c r="J8" s="61"/>
      <c r="K8" s="61"/>
      <c r="L8" s="61"/>
      <c r="M8" s="61"/>
    </row>
    <row r="9" spans="1:13" s="89" customFormat="1" ht="25.5" customHeight="1" x14ac:dyDescent="0.3">
      <c r="A9" s="156" t="str">
        <f>'START HERE'!$B$13</f>
        <v>Solution Provider Name</v>
      </c>
      <c r="B9" s="142"/>
      <c r="C9" s="136" t="str">
        <f>VLOOKUP($A9,'START HERE'!$B$13:$C$21,2,0)&amp;""</f>
        <v>Cursive Technology Inc</v>
      </c>
      <c r="D9" s="137"/>
      <c r="E9" s="138"/>
      <c r="F9" s="90"/>
      <c r="G9" s="90"/>
      <c r="H9" s="95"/>
      <c r="I9" s="90"/>
      <c r="J9" s="90"/>
    </row>
    <row r="10" spans="1:13" s="89" customFormat="1" ht="25.5" customHeight="1" x14ac:dyDescent="0.3">
      <c r="A10" s="157" t="str">
        <f>'START HERE'!$B$16</f>
        <v>Solution Provider Contact Name</v>
      </c>
      <c r="B10" s="143"/>
      <c r="C10" s="135" t="str">
        <f>VLOOKUP($A10,'START HERE'!$B$13:$C$21,2,0)&amp;""</f>
        <v>Joseph Thibault</v>
      </c>
      <c r="D10" s="97"/>
      <c r="E10" s="139"/>
      <c r="F10" s="90"/>
      <c r="G10" s="90"/>
      <c r="H10" s="95"/>
      <c r="I10" s="90"/>
      <c r="J10" s="90"/>
    </row>
    <row r="11" spans="1:13" s="89" customFormat="1" ht="25.5" customHeight="1" x14ac:dyDescent="0.3">
      <c r="A11" s="157" t="str">
        <f>'START HERE'!$B$17</f>
        <v>Solution Provider Contact Title</v>
      </c>
      <c r="B11" s="143"/>
      <c r="C11" s="135" t="str">
        <f>VLOOKUP($A11,'START HERE'!$B$13:$C$21,2,0)&amp;""</f>
        <v>CEO</v>
      </c>
      <c r="D11" s="97"/>
      <c r="E11" s="139"/>
      <c r="F11" s="90"/>
      <c r="G11" s="90"/>
      <c r="H11" s="95"/>
      <c r="I11" s="90"/>
      <c r="J11" s="90"/>
    </row>
    <row r="12" spans="1:13" s="89" customFormat="1" ht="25.5" customHeight="1" x14ac:dyDescent="0.3">
      <c r="A12" s="157" t="str">
        <f>'START HERE'!$B$18</f>
        <v>Solution Provider Contact Email</v>
      </c>
      <c r="B12" s="143"/>
      <c r="C12" s="135" t="str">
        <f>VLOOKUP($A12,'START HERE'!$B$13:$C$21,2,0)&amp;""</f>
        <v>joe@cursivetechnology.com</v>
      </c>
      <c r="D12" s="97"/>
      <c r="E12" s="139"/>
      <c r="F12" s="133"/>
      <c r="G12" s="134"/>
      <c r="H12" s="134"/>
      <c r="I12" s="134"/>
      <c r="J12" s="134"/>
    </row>
    <row r="13" spans="1:13" s="89" customFormat="1" ht="25.5" customHeight="1" x14ac:dyDescent="0.3">
      <c r="A13" s="157" t="str">
        <f>'START HERE'!$B$14</f>
        <v>Solution Name</v>
      </c>
      <c r="B13" s="143"/>
      <c r="C13" s="135" t="str">
        <f>VLOOKUP($A13,'START HERE'!$B$13:$C$21,2,0)&amp;""</f>
        <v>TypeID</v>
      </c>
      <c r="D13" s="97"/>
      <c r="E13" s="139"/>
      <c r="F13" s="133"/>
      <c r="G13" s="134"/>
      <c r="H13" s="134"/>
      <c r="I13" s="134"/>
      <c r="J13" s="134"/>
    </row>
    <row r="14" spans="1:13" s="89" customFormat="1" ht="25.5" customHeight="1" x14ac:dyDescent="0.3">
      <c r="A14" s="157" t="str">
        <f>'START HERE'!$B$15</f>
        <v>Solution Description</v>
      </c>
      <c r="B14" s="143"/>
      <c r="C14" s="135" t="str">
        <f>VLOOKUP($A14,'START HERE'!$B$13:$C$21,2,0)&amp;""</f>
        <v>Continuous authorship verification and writing analytics using typing biometrics. Native Moodle plugin, browser extension for any LMS, WordPress-based authorship report and verification system.</v>
      </c>
      <c r="D14" s="97"/>
      <c r="E14" s="139"/>
      <c r="F14" s="133"/>
      <c r="G14" s="134"/>
      <c r="H14" s="134"/>
      <c r="I14" s="134"/>
      <c r="J14" s="134"/>
    </row>
    <row r="15" spans="1:13" s="89" customFormat="1" ht="25.5" customHeight="1" thickBot="1" x14ac:dyDescent="0.35">
      <c r="A15" s="158" t="s">
        <v>948</v>
      </c>
      <c r="B15" s="144"/>
      <c r="C15" s="338">
        <f>'START HERE'!$C$3</f>
        <v>0</v>
      </c>
      <c r="D15" s="140"/>
      <c r="E15" s="141"/>
      <c r="F15" s="133"/>
      <c r="G15" s="134"/>
      <c r="H15" s="134"/>
      <c r="I15" s="134"/>
      <c r="J15" s="134"/>
    </row>
    <row r="16" spans="1:13" x14ac:dyDescent="0.3">
      <c r="A16" s="51" t="s">
        <v>949</v>
      </c>
      <c r="C16" s="260"/>
    </row>
    <row r="17" spans="1:338" s="87" customFormat="1" ht="24" customHeight="1" thickBot="1" x14ac:dyDescent="0.35">
      <c r="A17" s="88"/>
      <c r="B17" s="88"/>
      <c r="C17" s="88"/>
    </row>
    <row r="18" spans="1:338" ht="37.35" customHeight="1" thickBot="1" x14ac:dyDescent="0.35">
      <c r="B18" s="83" t="s">
        <v>947</v>
      </c>
      <c r="C18" s="110" t="s">
        <v>965</v>
      </c>
      <c r="D18" s="82" t="s">
        <v>1512</v>
      </c>
      <c r="E18" s="109" t="s">
        <v>946</v>
      </c>
      <c r="F18" s="86" t="s">
        <v>945</v>
      </c>
    </row>
    <row r="19" spans="1:338" s="84" customFormat="1" ht="37.35" customHeight="1" thickBot="1" x14ac:dyDescent="0.35">
      <c r="B19" s="113" t="s">
        <v>964</v>
      </c>
      <c r="C19" s="114">
        <f>SUM('(backend scoring)'!$Q$3:$Q$333)</f>
        <v>0</v>
      </c>
      <c r="D19" s="115">
        <f>SUMIF('(backend scoring)'!$Q$3:$Q$333,1,'(backend scoring)'!$O$3:$O$333)</f>
        <v>0</v>
      </c>
      <c r="E19" s="115">
        <f>SUMIF('(backend scoring)'!$Q$3:$Q$333,1,'(backend scoring)'!$P$3:$P$333)</f>
        <v>0</v>
      </c>
      <c r="F19" s="116" t="str">
        <f>IF(D19=0,'Auto Responses'!$J$5,E19/D19)</f>
        <v>N/A</v>
      </c>
    </row>
    <row r="20" spans="1:338" s="84" customFormat="1" ht="37.35" customHeight="1" thickBot="1" x14ac:dyDescent="0.3">
      <c r="B20" s="113" t="s">
        <v>1522</v>
      </c>
      <c r="C20" s="114">
        <f>SUM('(backend scoring)'!$T$3:$T$333)</f>
        <v>87</v>
      </c>
      <c r="D20" s="115">
        <f>SUMIF('(backend scoring)'!$N$3:$N$333,1,'(backend scoring)'!$O$3:$O$333)</f>
        <v>1440</v>
      </c>
      <c r="E20" s="115">
        <f>SUMIF('(backend scoring)'!$N$3:$N$333,1,'(backend scoring)'!$P$3:$P$333)</f>
        <v>1100</v>
      </c>
      <c r="F20" s="116">
        <f>IF(D20=0,'Auto Responses'!$J$5,E20/D20)</f>
        <v>0.76388888888888884</v>
      </c>
      <c r="G20" s="238" t="s">
        <v>1449</v>
      </c>
    </row>
    <row r="21" spans="1:338" x14ac:dyDescent="0.3">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row>
    <row r="22" spans="1:338" ht="16.8" thickBot="1" x14ac:dyDescent="0.3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row>
    <row r="23" spans="1:338" ht="34.5" customHeight="1" thickBot="1" x14ac:dyDescent="0.35">
      <c r="A23" s="298" t="s">
        <v>1523</v>
      </c>
      <c r="B23" s="163"/>
      <c r="C23" s="163"/>
      <c r="D23" s="163"/>
      <c r="E23" s="163"/>
      <c r="F23" s="164"/>
      <c r="G23" s="166"/>
      <c r="H23" s="298" t="s">
        <v>976</v>
      </c>
      <c r="I23" s="163"/>
      <c r="J23" s="163"/>
      <c r="K23" s="163"/>
      <c r="L23" s="163"/>
      <c r="M23" s="164"/>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row>
    <row r="24" spans="1:338" ht="34.5" customHeight="1" x14ac:dyDescent="0.3">
      <c r="A24" s="153"/>
      <c r="B24" s="207" t="s">
        <v>955</v>
      </c>
      <c r="C24" s="207" t="s">
        <v>1</v>
      </c>
      <c r="D24" s="207" t="s">
        <v>1497</v>
      </c>
      <c r="E24" s="207" t="s">
        <v>72</v>
      </c>
      <c r="F24" s="208" t="s">
        <v>849</v>
      </c>
      <c r="G24" s="205"/>
      <c r="H24" s="153"/>
      <c r="I24" s="207" t="s">
        <v>955</v>
      </c>
      <c r="J24" s="207" t="s">
        <v>1</v>
      </c>
      <c r="K24" s="207" t="s">
        <v>1497</v>
      </c>
      <c r="L24" s="207" t="s">
        <v>72</v>
      </c>
      <c r="M24" s="208" t="s">
        <v>849</v>
      </c>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row>
    <row r="25" spans="1:338" ht="96.75" customHeight="1" x14ac:dyDescent="0.3">
      <c r="A25" s="209">
        <v>1</v>
      </c>
      <c r="B25" s="209" t="str">
        <f>_xlfn.XLOOKUP($A25,'(backend scoring)'!$V$2:$V$333,'(backend scoring)'!$A$2:$A$333,"")</f>
        <v>DOCU-01</v>
      </c>
      <c r="C25" s="209" t="str">
        <f>IFERROR(VLOOKUP($B25,'Institution Evaluation'!$A$55:$F$345,2,0),IFERROR(VLOOKUP($B25,'Privacy Analyst Evaluation'!$A$46:$F$120,2,0),""))&amp;""</f>
        <v>Do you have a well-documented business continuity plan (BCP), with a clear owner, that is tested annually?*</v>
      </c>
      <c r="D25" s="209" t="str">
        <f>IFERROR(VLOOKUP($B25,'Institution Evaluation'!$A$55:$F$345,3,0),IFERROR(VLOOKUP($B25,'Privacy Analyst Evaluation'!$A$46:$F$120,3,0),""))&amp;""</f>
        <v>Yes</v>
      </c>
      <c r="E25" s="209" t="str">
        <f>IFERROR(VLOOKUP($B25,'Institution Evaluation'!$A$55:$F$345,4,0),IFERROR(VLOOKUP($B25,'Privacy Analyst Evaluation'!$A$46:$F$120,4,0),""))&amp;""</f>
        <v>Cursive Technology Policies, Procedures, &amp; Information Security Policy</v>
      </c>
      <c r="F25" s="209" t="str">
        <f>IFERROR(VLOOKUP($B25,'Institution Evaluation'!$A$55:$F$345,6,0),IFERROR(VLOOKUP($B25,'Privacy Analyst Evaluation'!$A$46:$F$120,6,0),""))&amp;""</f>
        <v/>
      </c>
      <c r="G25" s="210"/>
      <c r="H25" s="209">
        <v>1</v>
      </c>
      <c r="I25" s="209" t="str">
        <f>_xlfn.XLOOKUP($H25,'(backend scoring)'!$S$2:$S$333,'(backend scoring)'!$A$2:$A$333,"")</f>
        <v/>
      </c>
      <c r="J25" s="209" t="str">
        <f>IFERROR(VLOOKUP($I25,'Institution Evaluation'!$A$55:$F$345,2,0),IFERROR(VLOOKUP($I25,'Privacy Analyst Evaluation'!$A$46:$F$120,2,0),""))&amp;""</f>
        <v/>
      </c>
      <c r="K25" s="209" t="str">
        <f>IFERROR(VLOOKUP($I25,'Institution Evaluation'!$A$55:$F$345,3,0),IFERROR(VLOOKUP($I25,'Privacy Analyst Evaluation'!$A$46:$F$120,3,0),""))&amp;""</f>
        <v/>
      </c>
      <c r="L25" s="209" t="str">
        <f>IFERROR(VLOOKUP($I25,'Institution Evaluation'!$A$55:$F$345,4,0),IFERROR(VLOOKUP($I25,'Privacy Analyst Evaluation'!$A$46:$F$120,4,0),""))&amp;""</f>
        <v/>
      </c>
      <c r="M25" s="209" t="str">
        <f>IFERROR(VLOOKUP($I25,'Institution Evaluation'!$A$55:$F$345,6,0),IFERROR(VLOOKUP($I25,'Privacy Analyst Evaluation'!$A$46:$F$120,6,0),""))&amp;""</f>
        <v/>
      </c>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row>
    <row r="26" spans="1:338" ht="64.5" customHeight="1" x14ac:dyDescent="0.3">
      <c r="A26" s="209">
        <f>IFERROR(IF($A25+1&gt;'(backend scoring)'!$T$335,"",$A25+1),"")</f>
        <v>2</v>
      </c>
      <c r="B26" s="209" t="str">
        <f>_xlfn.XLOOKUP($A26,'(backend scoring)'!$V$2:$V$333,'(backend scoring)'!$A$2:$A$333,"")</f>
        <v>DOCU-02</v>
      </c>
      <c r="C26" s="209" t="str">
        <f>IFERROR(VLOOKUP($B26,'Institution Evaluation'!$A$55:$F$345,2,0),IFERROR(VLOOKUP($B26,'Privacy Analyst Evaluation'!$A$46:$F$120,2,0),""))&amp;""</f>
        <v>Do you have a well-documented disaster recovery plan (DRP), with a clear owner, that is tested annually?*</v>
      </c>
      <c r="D26" s="209" t="str">
        <f>IFERROR(VLOOKUP($B26,'Institution Evaluation'!$A$55:$F$345,3,0),IFERROR(VLOOKUP($B26,'Privacy Analyst Evaluation'!$A$46:$F$120,3,0),""))&amp;""</f>
        <v>Yes</v>
      </c>
      <c r="E26" s="209" t="str">
        <f>IFERROR(VLOOKUP($B26,'Institution Evaluation'!$A$55:$F$345,4,0),IFERROR(VLOOKUP($B26,'Privacy Analyst Evaluation'!$A$46:$F$120,4,0),""))&amp;""</f>
        <v xml:space="preserve">Cursive Technology Policies, Procedures, &amp; Information Security Policy </v>
      </c>
      <c r="F26" s="209" t="str">
        <f>IFERROR(VLOOKUP($B26,'Institution Evaluation'!$A$55:$F$345,6,0),IFERROR(VLOOKUP($B26,'Privacy Analyst Evaluation'!$A$46:$F$120,6,0),""))&amp;""</f>
        <v/>
      </c>
      <c r="G26" s="210"/>
      <c r="H26" s="209" t="str">
        <f>IFERROR(IF($H25+1&gt;'(backend scoring)'!$Q$335,"",$H25+1),"")</f>
        <v/>
      </c>
      <c r="I26" s="209" t="str">
        <f>_xlfn.XLOOKUP($H26,'(backend scoring)'!$S$2:$S$333,'(backend scoring)'!$A$2:$A$333,"")</f>
        <v/>
      </c>
      <c r="J26" s="209" t="str">
        <f>IFERROR(VLOOKUP($I26,'Institution Evaluation'!$A$55:$F$345,2,0),IFERROR(VLOOKUP($I26,'Privacy Analyst Evaluation'!$A$46:$F$120,2,0),""))</f>
        <v/>
      </c>
      <c r="K26" s="209" t="str">
        <f>IFERROR(VLOOKUP($I26,'Institution Evaluation'!$A$55:$F$345,3,0),IFERROR(VLOOKUP($I26,'Privacy Analyst Evaluation'!$A$46:$F$120,3,0),""))&amp;""</f>
        <v/>
      </c>
      <c r="L26" s="209" t="str">
        <f>IFERROR(VLOOKUP($I26,'Institution Evaluation'!$A$55:$F$345,4,0),IFERROR(VLOOKUP($I26,'Privacy Analyst Evaluation'!$A$46:$F$120,4,0),""))&amp;""</f>
        <v/>
      </c>
      <c r="M26" s="209" t="str">
        <f>IFERROR(VLOOKUP($I26,'Institution Evaluation'!$A$55:$F$345,6,0),IFERROR(VLOOKUP($I26,'Privacy Analyst Evaluation'!$A$46:$F$120,6,0),""))&amp;""</f>
        <v/>
      </c>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row>
    <row r="27" spans="1:338" ht="66.75" customHeight="1" x14ac:dyDescent="0.3">
      <c r="A27" s="209">
        <f>IFERROR(IF($A26+1&gt;'(backend scoring)'!$T$335,"",$A26+1),"")</f>
        <v>3</v>
      </c>
      <c r="B27" s="209" t="str">
        <f>_xlfn.XLOOKUP($A27,'(backend scoring)'!$V$2:$V$333,'(backend scoring)'!$A$2:$A$333,"")</f>
        <v>ITAC-06</v>
      </c>
      <c r="C27" s="209" t="str">
        <f>IFERROR(VLOOKUP($B27,'Institution Evaluation'!$A$55:$F$345,2,0),IFERROR(VLOOKUP($B27,'Privacy Analyst Evaluation'!$A$46:$F$120,2,0),""))&amp;""</f>
        <v>Has a VPAT or ACR been created or updated for the solution and version under consideration within the past 12 months?*</v>
      </c>
      <c r="D27" s="209" t="str">
        <f>IFERROR(VLOOKUP($B27,'Institution Evaluation'!$A$55:$F$345,3,0),IFERROR(VLOOKUP($B27,'Privacy Analyst Evaluation'!$A$46:$F$120,3,0),""))&amp;""</f>
        <v>Yes</v>
      </c>
      <c r="E27" s="209" t="str">
        <f>IFERROR(VLOOKUP($B27,'Institution Evaluation'!$A$55:$F$345,4,0),IFERROR(VLOOKUP($B27,'Privacy Analyst Evaluation'!$A$46:$F$120,4,0),""))&amp;""</f>
        <v>VPAT is being refreshed following May 2026 accessibility review; current VPAT linked from cursivetechnology.com/accessibility</v>
      </c>
      <c r="F27" s="209" t="str">
        <f>IFERROR(VLOOKUP($B27,'Institution Evaluation'!$A$55:$F$345,6,0),IFERROR(VLOOKUP($B27,'Privacy Analyst Evaluation'!$A$46:$F$120,6,0),""))&amp;""</f>
        <v/>
      </c>
      <c r="G27" s="210"/>
      <c r="H27" s="209" t="str">
        <f>IFERROR(IF($H26+1&gt;'(backend scoring)'!$Q$335,"",$H26+1),"")</f>
        <v/>
      </c>
      <c r="I27" s="209" t="str">
        <f>_xlfn.XLOOKUP($H27,'(backend scoring)'!$S$2:$S$333,'(backend scoring)'!$A$2:$A$333,"")</f>
        <v/>
      </c>
      <c r="J27" s="209" t="str">
        <f>IFERROR(VLOOKUP($I27,'Institution Evaluation'!$A$55:$F$345,2,0),IFERROR(VLOOKUP($I27,'Privacy Analyst Evaluation'!$A$46:$F$120,2,0),""))</f>
        <v/>
      </c>
      <c r="K27" s="209" t="str">
        <f>IFERROR(VLOOKUP($I27,'Institution Evaluation'!$A$55:$F$345,3,0),IFERROR(VLOOKUP($I27,'Privacy Analyst Evaluation'!$A$46:$F$120,3,0),""))&amp;""</f>
        <v/>
      </c>
      <c r="L27" s="209" t="str">
        <f>IFERROR(VLOOKUP($I27,'Institution Evaluation'!$A$55:$F$345,4,0),IFERROR(VLOOKUP($I27,'Privacy Analyst Evaluation'!$A$46:$F$120,4,0),""))&amp;""</f>
        <v/>
      </c>
      <c r="M27" s="209" t="str">
        <f>IFERROR(VLOOKUP($I27,'Institution Evaluation'!$A$55:$F$345,6,0),IFERROR(VLOOKUP($I27,'Privacy Analyst Evaluation'!$A$46:$F$120,6,0),""))&amp;""</f>
        <v/>
      </c>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row>
    <row r="28" spans="1:338" ht="194.4" x14ac:dyDescent="0.3">
      <c r="A28" s="209">
        <f>IFERROR(IF($A27+1&gt;'(backend scoring)'!$T$335,"",$A27+1),"")</f>
        <v>4</v>
      </c>
      <c r="B28" s="209" t="str">
        <f>_xlfn.XLOOKUP($A28,'(backend scoring)'!$V$2:$V$333,'(backend scoring)'!$A$2:$A$333,"")</f>
        <v>ITAC-07</v>
      </c>
      <c r="C28" s="209" t="str">
        <f>IFERROR(VLOOKUP($B28,'Institution Evaluation'!$A$55:$F$345,2,0),IFERROR(VLOOKUP($B28,'Privacy Analyst Evaluation'!$A$46:$F$120,2,0),""))&amp;""</f>
        <v>Will your company agree to meet your stated accessibility standard or WCAG 2.1 AA as part of your contractual agreement for the solution?*</v>
      </c>
      <c r="D28" s="209" t="str">
        <f>IFERROR(VLOOKUP($B28,'Institution Evaluation'!$A$55:$F$345,3,0),IFERROR(VLOOKUP($B28,'Privacy Analyst Evaluation'!$A$46:$F$120,3,0),""))&amp;""</f>
        <v>Yes</v>
      </c>
      <c r="E28" s="209" t="str">
        <f>IFERROR(VLOOKUP($B28,'Institution Evaluation'!$A$55:$F$345,4,0),IFERROR(VLOOKUP($B28,'Privacy Analyst Evaluation'!$A$46:$F$120,4,0),""))&amp;""</f>
        <v>Cursive will commit contractually to its currently stated standard (WCAG 2.0 A) and to the documented roadmap toward WCAG 2.1 AA. Full contractual commitment to WCAG 2.1 AA is targeted following completion of the remediation work scoped in May 2026.</v>
      </c>
      <c r="F28" s="209" t="str">
        <f>IFERROR(VLOOKUP($B28,'Institution Evaluation'!$A$55:$F$345,6,0),IFERROR(VLOOKUP($B28,'Privacy Analyst Evaluation'!$A$46:$F$120,6,0),""))&amp;""</f>
        <v/>
      </c>
      <c r="G28" s="210"/>
      <c r="H28" s="209" t="str">
        <f>IFERROR(IF($H27+1&gt;'(backend scoring)'!$Q$335,"",$H27+1),"")</f>
        <v/>
      </c>
      <c r="I28" s="209" t="str">
        <f>_xlfn.XLOOKUP($H28,'(backend scoring)'!$S$2:$S$333,'(backend scoring)'!$A$2:$A$333,"")</f>
        <v/>
      </c>
      <c r="J28" s="209" t="str">
        <f>IFERROR(VLOOKUP($I28,'Institution Evaluation'!$A$55:$F$345,2,0),IFERROR(VLOOKUP($I28,'Privacy Analyst Evaluation'!$A$46:$F$120,2,0),""))</f>
        <v/>
      </c>
      <c r="K28" s="209" t="str">
        <f>IFERROR(VLOOKUP($I28,'Institution Evaluation'!$A$55:$F$345,3,0),IFERROR(VLOOKUP($I28,'Privacy Analyst Evaluation'!$A$46:$F$120,3,0),""))&amp;""</f>
        <v/>
      </c>
      <c r="L28" s="209" t="str">
        <f>IFERROR(VLOOKUP($I28,'Institution Evaluation'!$A$55:$F$345,4,0),IFERROR(VLOOKUP($I28,'Privacy Analyst Evaluation'!$A$46:$F$120,4,0),""))&amp;""</f>
        <v/>
      </c>
      <c r="M28" s="209" t="str">
        <f>IFERROR(VLOOKUP($I28,'Institution Evaluation'!$A$55:$F$345,6,0),IFERROR(VLOOKUP($I28,'Privacy Analyst Evaluation'!$A$46:$F$120,6,0),""))&amp;""</f>
        <v/>
      </c>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row>
    <row r="29" spans="1:338" ht="129.6" x14ac:dyDescent="0.3">
      <c r="A29" s="209">
        <f>IFERROR(IF($A28+1&gt;'(backend scoring)'!$T$335,"",$A28+1),"")</f>
        <v>5</v>
      </c>
      <c r="B29" s="209" t="str">
        <f>_xlfn.XLOOKUP($A29,'(backend scoring)'!$V$2:$V$333,'(backend scoring)'!$A$2:$A$333,"")</f>
        <v>ITAC-08</v>
      </c>
      <c r="C29" s="209" t="str">
        <f>IFERROR(VLOOKUP($B29,'Institution Evaluation'!$A$55:$F$345,2,0),IFERROR(VLOOKUP($B29,'Privacy Analyst Evaluation'!$A$46:$F$120,2,0),""))&amp;""</f>
        <v>Does the solution substantially conform to WCAG 2.1 AA?*</v>
      </c>
      <c r="D29" s="209" t="str">
        <f>IFERROR(VLOOKUP($B29,'Institution Evaluation'!$A$55:$F$345,3,0),IFERROR(VLOOKUP($B29,'Privacy Analyst Evaluation'!$A$46:$F$120,3,0),""))&amp;""</f>
        <v>Yes</v>
      </c>
      <c r="E29" s="209" t="str">
        <f>IFERROR(VLOOKUP($B29,'Institution Evaluation'!$A$55:$F$345,4,0),IFERROR(VLOOKUP($B29,'Privacy Analyst Evaluation'!$A$46:$F$120,4,0),""))&amp;""</f>
        <v>Substantial conformance to WCAG 2.0 Level A per the current VPAT. WCAG 2.1 AA conformance is the documented roadmap target; gap items are tracked in the POAM and prioritized in Linear.</v>
      </c>
      <c r="F29" s="209" t="str">
        <f>IFERROR(VLOOKUP($B29,'Institution Evaluation'!$A$55:$F$345,6,0),IFERROR(VLOOKUP($B29,'Privacy Analyst Evaluation'!$A$46:$F$120,6,0),""))&amp;""</f>
        <v/>
      </c>
      <c r="G29" s="210"/>
      <c r="H29" s="209" t="str">
        <f>IFERROR(IF($H28+1&gt;'(backend scoring)'!$Q$335,"",$H28+1),"")</f>
        <v/>
      </c>
      <c r="I29" s="209" t="str">
        <f>_xlfn.XLOOKUP($H29,'(backend scoring)'!$S$2:$S$333,'(backend scoring)'!$A$2:$A$333,"")</f>
        <v/>
      </c>
      <c r="J29" s="209" t="str">
        <f>IFERROR(VLOOKUP($I29,'Institution Evaluation'!$A$55:$F$345,2,0),IFERROR(VLOOKUP($I29,'Privacy Analyst Evaluation'!$A$46:$F$120,2,0),""))</f>
        <v/>
      </c>
      <c r="K29" s="209" t="str">
        <f>IFERROR(VLOOKUP($I29,'Institution Evaluation'!$A$55:$F$345,3,0),IFERROR(VLOOKUP($I29,'Privacy Analyst Evaluation'!$A$46:$F$120,3,0),""))&amp;""</f>
        <v/>
      </c>
      <c r="L29" s="209" t="str">
        <f>IFERROR(VLOOKUP($I29,'Institution Evaluation'!$A$55:$F$345,4,0),IFERROR(VLOOKUP($I29,'Privacy Analyst Evaluation'!$A$46:$F$120,4,0),""))&amp;""</f>
        <v/>
      </c>
      <c r="M29" s="209" t="str">
        <f>IFERROR(VLOOKUP($I29,'Institution Evaluation'!$A$55:$F$345,6,0),IFERROR(VLOOKUP($I29,'Privacy Analyst Evaluation'!$A$46:$F$120,6,0),""))&amp;""</f>
        <v/>
      </c>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row>
    <row r="30" spans="1:338" ht="162" x14ac:dyDescent="0.3">
      <c r="A30" s="209">
        <f>IFERROR(IF($A29+1&gt;'(backend scoring)'!$T$335,"",$A29+1),"")</f>
        <v>6</v>
      </c>
      <c r="B30" s="209" t="str">
        <f>_xlfn.XLOOKUP($A30,'(backend scoring)'!$V$2:$V$333,'(backend scoring)'!$A$2:$A$333,"")</f>
        <v>ITAC-09</v>
      </c>
      <c r="C30" s="209" t="str">
        <f>IFERROR(VLOOKUP($B30,'Institution Evaluation'!$A$55:$F$345,2,0),IFERROR(VLOOKUP($B30,'Privacy Analyst Evaluation'!$A$46:$F$120,2,0),""))&amp;""</f>
        <v>Do you have a documented and implemented process for reporting and tracking accessibility issues?*</v>
      </c>
      <c r="D30" s="209" t="str">
        <f>IFERROR(VLOOKUP($B30,'Institution Evaluation'!$A$55:$F$345,3,0),IFERROR(VLOOKUP($B30,'Privacy Analyst Evaluation'!$A$46:$F$120,3,0),""))&amp;""</f>
        <v>Yes</v>
      </c>
      <c r="E30" s="209" t="str">
        <f>IFERROR(VLOOKUP($B30,'Institution Evaluation'!$A$55:$F$345,4,0),IFERROR(VLOOKUP($B30,'Privacy Analyst Evaluation'!$A$46:$F$120,4,0),""))&amp;""</f>
        <v>Issues are logged through customer support channels and via instructor/end-user feedback. Logged issues become part of the POAM, are tracked as Linear tickets, and are prioritized in the product roadmap.</v>
      </c>
      <c r="F30" s="209" t="str">
        <f>IFERROR(VLOOKUP($B30,'Institution Evaluation'!$A$55:$F$345,6,0),IFERROR(VLOOKUP($B30,'Privacy Analyst Evaluation'!$A$46:$F$120,6,0),""))&amp;""</f>
        <v/>
      </c>
      <c r="G30" s="210"/>
      <c r="H30" s="209" t="str">
        <f>IFERROR(IF($H29+1&gt;'(backend scoring)'!$Q$335,"",$H29+1),"")</f>
        <v/>
      </c>
      <c r="I30" s="209" t="str">
        <f>_xlfn.XLOOKUP($H30,'(backend scoring)'!$S$2:$S$333,'(backend scoring)'!$A$2:$A$333,"")</f>
        <v/>
      </c>
      <c r="J30" s="209" t="str">
        <f>IFERROR(VLOOKUP($I30,'Institution Evaluation'!$A$55:$F$345,2,0),IFERROR(VLOOKUP($I30,'Privacy Analyst Evaluation'!$A$46:$F$120,2,0),""))</f>
        <v/>
      </c>
      <c r="K30" s="209" t="str">
        <f>IFERROR(VLOOKUP($I30,'Institution Evaluation'!$A$55:$F$345,3,0),IFERROR(VLOOKUP($I30,'Privacy Analyst Evaluation'!$A$46:$F$120,3,0),""))&amp;""</f>
        <v/>
      </c>
      <c r="L30" s="209" t="str">
        <f>IFERROR(VLOOKUP($I30,'Institution Evaluation'!$A$55:$F$345,4,0),IFERROR(VLOOKUP($I30,'Privacy Analyst Evaluation'!$A$46:$F$120,4,0),""))&amp;""</f>
        <v/>
      </c>
      <c r="M30" s="209" t="str">
        <f>IFERROR(VLOOKUP($I30,'Institution Evaluation'!$A$55:$F$345,6,0),IFERROR(VLOOKUP($I30,'Privacy Analyst Evaluation'!$A$46:$F$120,6,0),""))&amp;""</f>
        <v/>
      </c>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row>
    <row r="31" spans="1:338" ht="409.6" x14ac:dyDescent="0.3">
      <c r="A31" s="209">
        <f>IFERROR(IF($A30+1&gt;'(backend scoring)'!$T$335,"",$A30+1),"")</f>
        <v>7</v>
      </c>
      <c r="B31" s="209" t="str">
        <f>_xlfn.XLOOKUP($A31,'(backend scoring)'!$V$2:$V$333,'(backend scoring)'!$A$2:$A$333,"")</f>
        <v>THRD-02</v>
      </c>
      <c r="C31" s="209" t="str">
        <f>IFERROR(VLOOKUP($B31,'Institution Evaluation'!$A$55:$F$345,2,0),IFERROR(VLOOKUP($B31,'Privacy Analyst Evaluation'!$A$46:$F$120,2,0),""))&amp;""</f>
        <v>Do you have contractual language in place with third parties governing access to institutional data?*</v>
      </c>
      <c r="D31" s="209" t="str">
        <f>IFERROR(VLOOKUP($B31,'Institution Evaluation'!$A$55:$F$345,3,0),IFERROR(VLOOKUP($B31,'Privacy Analyst Evaluation'!$A$46:$F$120,3,0),""))&amp;""</f>
        <v>Yes</v>
      </c>
      <c r="E31" s="209" t="str">
        <f>IFERROR(VLOOKUP($B31,'Institution Evaluation'!$A$55:$F$345,4,0),IFERROR(VLOOKUP($B31,'Privacy Analyst Evaluation'!$A$46:$F$120,4,0),""))&amp;""</f>
        <v>Cursive maintains contractual language governing third-party access to institutional data with all subprocessors that have any access to Cursive infrastructure or data flows. Standard contractual provisions include:
— Confidentiality and non-disclosure obligations covering institutional data and Cursive proprietary information;
— Data use limitations restricting use to the agreed service purpose only — no use of institutional data for marketing, advertising, training of subprocessor models, or any purpose beyond the engagement scope;
— Access controls requiring AWS IAM least-privilege scoping and MFA on all administrative access;
— For offshore engineering subprocessors (Brain-Station 23, AWS engineering contractor, Tech Worm LLC): explicit prohibition on use of institutional client data in any AI/ML training, scoping of access to non-production environments by default, and contractual restrictions on data export from US AWS regions;
— Notification obligations requiring subprocessor notice of any data security incident affecting institutional data;
— Audit and review rights enabling Cursive to verify subprocessor compliance;
— Termination provisions requiring secure data deletion at engagement end.
For AWS, contractual provisions flow through the AWS Customer Agreement and applicable Service Terms, including the AWS Data Processing Addendum where relevant. Subprocessor agreements are reviewed annually per the Cursive Compliance Policy and Procedure Review Calendar.</v>
      </c>
      <c r="F31" s="209" t="str">
        <f>IFERROR(VLOOKUP($B31,'Institution Evaluation'!$A$55:$F$345,6,0),IFERROR(VLOOKUP($B31,'Privacy Analyst Evaluation'!$A$46:$F$120,6,0),""))&amp;""</f>
        <v/>
      </c>
      <c r="G31" s="210"/>
      <c r="H31" s="209" t="str">
        <f>IFERROR(IF($H30+1&gt;'(backend scoring)'!$Q$335,"",$H30+1),"")</f>
        <v/>
      </c>
      <c r="I31" s="209" t="str">
        <f>_xlfn.XLOOKUP($H31,'(backend scoring)'!$S$2:$S$333,'(backend scoring)'!$A$2:$A$333,"")</f>
        <v/>
      </c>
      <c r="J31" s="209" t="str">
        <f>IFERROR(VLOOKUP($I31,'Institution Evaluation'!$A$55:$F$345,2,0),IFERROR(VLOOKUP($I31,'Privacy Analyst Evaluation'!$A$46:$F$120,2,0),""))</f>
        <v/>
      </c>
      <c r="K31" s="209" t="str">
        <f>IFERROR(VLOOKUP($I31,'Institution Evaluation'!$A$55:$F$345,3,0),IFERROR(VLOOKUP($I31,'Privacy Analyst Evaluation'!$A$46:$F$120,3,0),""))&amp;""</f>
        <v/>
      </c>
      <c r="L31" s="209" t="str">
        <f>IFERROR(VLOOKUP($I31,'Institution Evaluation'!$A$55:$F$345,4,0),IFERROR(VLOOKUP($I31,'Privacy Analyst Evaluation'!$A$46:$F$120,4,0),""))&amp;""</f>
        <v/>
      </c>
      <c r="M31" s="209" t="str">
        <f>IFERROR(VLOOKUP($I31,'Institution Evaluation'!$A$55:$F$345,6,0),IFERROR(VLOOKUP($I31,'Privacy Analyst Evaluation'!$A$46:$F$120,6,0),""))&amp;""</f>
        <v/>
      </c>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row>
    <row r="32" spans="1:338" ht="409.6" x14ac:dyDescent="0.3">
      <c r="A32" s="209">
        <f>IFERROR(IF($A31+1&gt;'(backend scoring)'!$T$335,"",$A31+1),"")</f>
        <v>8</v>
      </c>
      <c r="B32" s="209" t="str">
        <f>_xlfn.XLOOKUP($A32,'(backend scoring)'!$V$2:$V$333,'(backend scoring)'!$A$2:$A$333,"")</f>
        <v>THRD-01</v>
      </c>
      <c r="C32" s="209" t="str">
        <f>IFERROR(VLOOKUP($B32,'Institution Evaluation'!$A$55:$F$345,2,0),IFERROR(VLOOKUP($B32,'Privacy Analyst Evaluation'!$A$46:$F$120,2,0),""))&amp;""</f>
        <v>Do you perform security assessments of third-party companies with which you share data (e.g., hosting providers, cloud services, PaaS, IaaS, SaaS)?*</v>
      </c>
      <c r="D32" s="209" t="str">
        <f>IFERROR(VLOOKUP($B32,'Institution Evaluation'!$A$55:$F$345,3,0),IFERROR(VLOOKUP($B32,'Privacy Analyst Evaluation'!$A$46:$F$120,3,0),""))&amp;""</f>
        <v>Yes</v>
      </c>
      <c r="E32" s="209" t="str">
        <f>IFERROR(VLOOKUP($B32,'Institution Evaluation'!$A$55:$F$345,4,0),IFERROR(VLOOKUP($B32,'Privacy Analyst Evaluation'!$A$46:$F$120,4,0),""))&amp;""</f>
        <v>Cursive performs security assessment of third-party companies as part of subprocessor selection per the Cursive Vendor Management Policy. Evaluation criteria include: (1) third-party attestations (SOC 2 Type 2, ISO 27001, FedRAMP, HIPAA where applicable); (2) clear and publicly available privacy and security policies; (3) documentation supporting enterprise-level security practices; (4) regulatory compliance posture relevant to higher education (FERPA, state privacy laws, GDPR/PIPL where applicable); (5) data handling and breach notification commitments; (6) operational maturity indicators including support availability and incident response history. Subprocessors are reviewed at engagement and annually thereafter per the Cursive Compliance Policy and Procedure Review Calendar.</v>
      </c>
      <c r="F32" s="209" t="str">
        <f>IFERROR(VLOOKUP($B32,'Institution Evaluation'!$A$55:$F$345,6,0),IFERROR(VLOOKUP($B32,'Privacy Analyst Evaluation'!$A$46:$F$120,6,0),""))&amp;""</f>
        <v/>
      </c>
      <c r="G32" s="210"/>
      <c r="H32" s="209" t="str">
        <f>IFERROR(IF($H31+1&gt;'(backend scoring)'!$Q$335,"",$H31+1),"")</f>
        <v/>
      </c>
      <c r="I32" s="209" t="str">
        <f>_xlfn.XLOOKUP($H32,'(backend scoring)'!$S$2:$S$333,'(backend scoring)'!$A$2:$A$333,"")</f>
        <v/>
      </c>
      <c r="J32" s="209" t="str">
        <f>IFERROR(VLOOKUP($I32,'Institution Evaluation'!$A$55:$F$345,2,0),IFERROR(VLOOKUP($I32,'Privacy Analyst Evaluation'!$A$46:$F$120,2,0),""))</f>
        <v/>
      </c>
      <c r="K32" s="209" t="str">
        <f>IFERROR(VLOOKUP($I32,'Institution Evaluation'!$A$55:$F$345,3,0),IFERROR(VLOOKUP($I32,'Privacy Analyst Evaluation'!$A$46:$F$120,3,0),""))&amp;""</f>
        <v/>
      </c>
      <c r="L32" s="209" t="str">
        <f>IFERROR(VLOOKUP($I32,'Institution Evaluation'!$A$55:$F$345,4,0),IFERROR(VLOOKUP($I32,'Privacy Analyst Evaluation'!$A$46:$F$120,4,0),""))&amp;""</f>
        <v/>
      </c>
      <c r="M32" s="209" t="str">
        <f>IFERROR(VLOOKUP($I32,'Institution Evaluation'!$A$55:$F$345,6,0),IFERROR(VLOOKUP($I32,'Privacy Analyst Evaluation'!$A$46:$F$120,6,0),""))&amp;""</f>
        <v/>
      </c>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row>
    <row r="33" spans="1:338" ht="409.6" x14ac:dyDescent="0.3">
      <c r="A33" s="209">
        <f>IFERROR(IF($A32+1&gt;'(backend scoring)'!$T$335,"",$A32+1),"")</f>
        <v>9</v>
      </c>
      <c r="B33" s="209" t="str">
        <f>_xlfn.XLOOKUP($A33,'(backend scoring)'!$V$2:$V$333,'(backend scoring)'!$A$2:$A$333,"")</f>
        <v>THRD-03</v>
      </c>
      <c r="C33" s="209" t="str">
        <f>IFERROR(VLOOKUP($B33,'Institution Evaluation'!$A$55:$F$345,2,0),IFERROR(VLOOKUP($B33,'Privacy Analyst Evaluation'!$A$46:$F$120,2,0),""))&amp;""</f>
        <v>Do the contracts in place with these third parties address liability in the event of a data breach?*</v>
      </c>
      <c r="D33" s="209" t="str">
        <f>IFERROR(VLOOKUP($B33,'Institution Evaluation'!$A$55:$F$345,3,0),IFERROR(VLOOKUP($B33,'Privacy Analyst Evaluation'!$A$46:$F$120,3,0),""))&amp;""</f>
        <v>No</v>
      </c>
      <c r="E33" s="209" t="str">
        <f>IFERROR(VLOOKUP($B33,'Institution Evaluation'!$A$55:$F$345,4,0),IFERROR(VLOOKUP($B33,'Privacy Analyst Evaluation'!$A$46:$F$120,4,0),""))&amp;""</f>
        <v>Partly - Breach liability provisions vary by subprocessor based on the engagement scope and contract maturity:
AWS (primary infrastructure subprocessor): Comprehensive breach notification and liability provisions are in place through the AWS Customer Agreement, AWS Service Terms, and AWS Data Processing Addendum. AWS commits to standard breach notification timelines and supports downstream institutional notification commitments. AWS-side breach liability is governed by AWS's standard contractual terms applicable to all AWS customers.
Offshore engineering subprocessors (Brain-Station 23, AWS engineering contractor, Tech Worm LLC): Engagement agreements include NDA, confidentiality, and data-use limitation provisions. Explicit data breach notification timelines and quantified liability allocation provisions specific to security incidents are not currently uniformly documented in these subprocessor agreements. Practical breach risk is materially limited by the access architecture — these subprocessors operate in code/staging environments via AWS IAM least-privilege scoping and do not have standing access to institutional production data — but the contractual liability framework for breach scenarios is recognized as an area requiring formalization.
Operational SaaS subprocessors (Google Workspace, GitHub, Linear, Bitwarden, KnowBe4, Checkr, The Hanover): Breach liability is governed by each provider's standard customer agreement and applicable Data Processing Addendum where institutional data could theoretically be implicated. These subprocessors do not have access to institutional production data; their contracts cover data Cursive directly stores with them (internal documentation, source code, etc.) rather than institutional pass-through data.</v>
      </c>
      <c r="F33" s="209" t="str">
        <f>IFERROR(VLOOKUP($B33,'Institution Evaluation'!$A$55:$F$345,6,0),IFERROR(VLOOKUP($B33,'Privacy Analyst Evaluation'!$A$46:$F$120,6,0),""))&amp;""</f>
        <v/>
      </c>
      <c r="G33" s="210"/>
      <c r="H33" s="209" t="str">
        <f>IFERROR(IF($H32+1&gt;'(backend scoring)'!$Q$335,"",$H32+1),"")</f>
        <v/>
      </c>
      <c r="I33" s="209" t="str">
        <f>_xlfn.XLOOKUP($H33,'(backend scoring)'!$S$2:$S$333,'(backend scoring)'!$A$2:$A$333,"")</f>
        <v/>
      </c>
      <c r="J33" s="209" t="str">
        <f>IFERROR(VLOOKUP($I33,'Institution Evaluation'!$A$55:$F$345,2,0),IFERROR(VLOOKUP($I33,'Privacy Analyst Evaluation'!$A$46:$F$120,2,0),""))</f>
        <v/>
      </c>
      <c r="K33" s="209" t="str">
        <f>IFERROR(VLOOKUP($I33,'Institution Evaluation'!$A$55:$F$345,3,0),IFERROR(VLOOKUP($I33,'Privacy Analyst Evaluation'!$A$46:$F$120,3,0),""))&amp;""</f>
        <v/>
      </c>
      <c r="L33" s="209" t="str">
        <f>IFERROR(VLOOKUP($I33,'Institution Evaluation'!$A$55:$F$345,4,0),IFERROR(VLOOKUP($I33,'Privacy Analyst Evaluation'!$A$46:$F$120,4,0),""))&amp;""</f>
        <v/>
      </c>
      <c r="M33" s="209" t="str">
        <f>IFERROR(VLOOKUP($I33,'Institution Evaluation'!$A$55:$F$345,6,0),IFERROR(VLOOKUP($I33,'Privacy Analyst Evaluation'!$A$46:$F$120,6,0),""))&amp;""</f>
        <v/>
      </c>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row>
    <row r="34" spans="1:338" ht="409.6" x14ac:dyDescent="0.3">
      <c r="A34" s="209">
        <f>IFERROR(IF($A33+1&gt;'(backend scoring)'!$T$335,"",$A33+1),"")</f>
        <v>10</v>
      </c>
      <c r="B34" s="209" t="str">
        <f>_xlfn.XLOOKUP($A34,'(backend scoring)'!$V$2:$V$333,'(backend scoring)'!$A$2:$A$333,"")</f>
        <v>THRD-04</v>
      </c>
      <c r="C34" s="209" t="str">
        <f>IFERROR(VLOOKUP($B34,'Institution Evaluation'!$A$55:$F$345,2,0),IFERROR(VLOOKUP($B34,'Privacy Analyst Evaluation'!$A$46:$F$120,2,0),""))&amp;""</f>
        <v>Do you have an implemented third-party management strategy?*</v>
      </c>
      <c r="D34" s="209" t="str">
        <f>IFERROR(VLOOKUP($B34,'Institution Evaluation'!$A$55:$F$345,3,0),IFERROR(VLOOKUP($B34,'Privacy Analyst Evaluation'!$A$46:$F$120,3,0),""))&amp;""</f>
        <v>Yes</v>
      </c>
      <c r="E34" s="209" t="str">
        <f>IFERROR(VLOOKUP($B34,'Institution Evaluation'!$A$55:$F$345,4,0),IFERROR(VLOOKUP($B34,'Privacy Analyst Evaluation'!$A$46:$F$120,4,0),""))&amp;""</f>
        <v>Cursive maintains an implemented third-party management strategy per the Cursive Vendor Management Policy. Strategy components include:
— Documented vendor selection criteria emphasizing third-party attestations, security posture, regulatory alignment, and data handling commitments;
— Direct engagement with primary infrastructure providers (notably AWS) for tooling, security, and operational decisions, ensuring Cursive is positioned to leverage current best practices;
— Tiered vendor categorization: critical infrastructure subprocessors (AWS), data-adjacent subprocessors (offshore engineering teams with code/staging access), operational subprocessors (Google Workspace, GitHub, Linear, Bitwarden, KnowBe4, Checkr, The Hanover);
— Annual review of all subprocessors for continued alignment with Cursive's security and operational requirements per the Cursive Compliance Policy and Procedure Review Calendar;
— Proactive monitoring of supply chain tool updates and long-term support plans;
— Documented offboarding procedures for subprocessor termination including credential revocation, data return/deletion verification, and access audit;
— Inventory management with proactive monitoring of technology suite to ensure long lead times for any discontinued or deprecated products.</v>
      </c>
      <c r="F34" s="209" t="str">
        <f>IFERROR(VLOOKUP($B34,'Institution Evaluation'!$A$55:$F$345,6,0),IFERROR(VLOOKUP($B34,'Privacy Analyst Evaluation'!$A$46:$F$120,6,0),""))&amp;""</f>
        <v/>
      </c>
      <c r="G34" s="210"/>
      <c r="H34" s="209" t="str">
        <f>IFERROR(IF($H33+1&gt;'(backend scoring)'!$Q$335,"",$H33+1),"")</f>
        <v/>
      </c>
      <c r="I34" s="209" t="str">
        <f>_xlfn.XLOOKUP($H34,'(backend scoring)'!$S$2:$S$333,'(backend scoring)'!$A$2:$A$333,"")</f>
        <v/>
      </c>
      <c r="J34" s="209" t="str">
        <f>IFERROR(VLOOKUP($I34,'Institution Evaluation'!$A$55:$F$345,2,0),IFERROR(VLOOKUP($I34,'Privacy Analyst Evaluation'!$A$46:$F$120,2,0),""))</f>
        <v/>
      </c>
      <c r="K34" s="209" t="str">
        <f>IFERROR(VLOOKUP($I34,'Institution Evaluation'!$A$55:$F$345,3,0),IFERROR(VLOOKUP($I34,'Privacy Analyst Evaluation'!$A$46:$F$120,3,0),""))&amp;""</f>
        <v/>
      </c>
      <c r="L34" s="209" t="str">
        <f>IFERROR(VLOOKUP($I34,'Institution Evaluation'!$A$55:$F$345,4,0),IFERROR(VLOOKUP($I34,'Privacy Analyst Evaluation'!$A$46:$F$120,4,0),""))&amp;""</f>
        <v/>
      </c>
      <c r="M34" s="209" t="str">
        <f>IFERROR(VLOOKUP($I34,'Institution Evaluation'!$A$55:$F$345,6,0),IFERROR(VLOOKUP($I34,'Privacy Analyst Evaluation'!$A$46:$F$120,6,0),""))&amp;""</f>
        <v/>
      </c>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row>
    <row r="35" spans="1:338" ht="48.6" x14ac:dyDescent="0.3">
      <c r="A35" s="209">
        <f>IFERROR(IF($A34+1&gt;'(backend scoring)'!$T$335,"",$A34+1),"")</f>
        <v>11</v>
      </c>
      <c r="B35" s="209" t="str">
        <f>_xlfn.XLOOKUP($A35,'(backend scoring)'!$V$2:$V$333,'(backend scoring)'!$A$2:$A$333,"")</f>
        <v>CONS-01</v>
      </c>
      <c r="C35" s="209" t="str">
        <f>IFERROR(VLOOKUP($B35,'Institution Evaluation'!$A$55:$F$345,2,0),IFERROR(VLOOKUP($B35,'Privacy Analyst Evaluation'!$A$46:$F$120,2,0),""))&amp;""</f>
        <v>Will the consultant require access to the institution's network resources?*</v>
      </c>
      <c r="D35" s="209" t="str">
        <f>IFERROR(VLOOKUP($B35,'Institution Evaluation'!$A$55:$F$345,3,0),IFERROR(VLOOKUP($B35,'Privacy Analyst Evaluation'!$A$46:$F$120,3,0),""))&amp;""</f>
        <v/>
      </c>
      <c r="E35" s="209" t="str">
        <f>IFERROR(VLOOKUP($B35,'Institution Evaluation'!$A$55:$F$345,4,0),IFERROR(VLOOKUP($B35,'Privacy Analyst Evaluation'!$A$46:$F$120,4,0),""))&amp;""</f>
        <v>This question does not apply.</v>
      </c>
      <c r="F35" s="209" t="str">
        <f>IFERROR(VLOOKUP($B35,'Institution Evaluation'!$A$55:$F$345,6,0),IFERROR(VLOOKUP($B35,'Privacy Analyst Evaluation'!$A$46:$F$120,6,0),""))&amp;""</f>
        <v/>
      </c>
      <c r="G35" s="210"/>
      <c r="H35" s="209" t="str">
        <f>IFERROR(IF($H34+1&gt;'(backend scoring)'!$Q$335,"",$H34+1),"")</f>
        <v/>
      </c>
      <c r="I35" s="209" t="str">
        <f>_xlfn.XLOOKUP($H35,'(backend scoring)'!$S$2:$S$333,'(backend scoring)'!$A$2:$A$333,"")</f>
        <v/>
      </c>
      <c r="J35" s="209" t="str">
        <f>IFERROR(VLOOKUP($I35,'Institution Evaluation'!$A$55:$F$345,2,0),IFERROR(VLOOKUP($I35,'Privacy Analyst Evaluation'!$A$46:$F$120,2,0),""))</f>
        <v/>
      </c>
      <c r="K35" s="209" t="str">
        <f>IFERROR(VLOOKUP($I35,'Institution Evaluation'!$A$55:$F$345,3,0),IFERROR(VLOOKUP($I35,'Privacy Analyst Evaluation'!$A$46:$F$120,3,0),""))&amp;""</f>
        <v/>
      </c>
      <c r="L35" s="209" t="str">
        <f>IFERROR(VLOOKUP($I35,'Institution Evaluation'!$A$55:$F$345,4,0),IFERROR(VLOOKUP($I35,'Privacy Analyst Evaluation'!$A$46:$F$120,4,0),""))&amp;""</f>
        <v/>
      </c>
      <c r="M35" s="209" t="str">
        <f>IFERROR(VLOOKUP($I35,'Institution Evaluation'!$A$55:$F$345,6,0),IFERROR(VLOOKUP($I35,'Privacy Analyst Evaluation'!$A$46:$F$120,6,0),""))&amp;""</f>
        <v/>
      </c>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row>
    <row r="36" spans="1:338" ht="48.6" x14ac:dyDescent="0.3">
      <c r="A36" s="209">
        <f>IFERROR(IF($A35+1&gt;'(backend scoring)'!$T$335,"",$A35+1),"")</f>
        <v>12</v>
      </c>
      <c r="B36" s="209" t="str">
        <f>_xlfn.XLOOKUP($A36,'(backend scoring)'!$V$2:$V$333,'(backend scoring)'!$A$2:$A$333,"")</f>
        <v>CONS-02</v>
      </c>
      <c r="C36" s="209" t="str">
        <f>IFERROR(VLOOKUP($B36,'Institution Evaluation'!$A$55:$F$345,2,0),IFERROR(VLOOKUP($B36,'Privacy Analyst Evaluation'!$A$46:$F$120,2,0),""))&amp;""</f>
        <v>Has the consultant received training on (sensitive, HIPAA, PCI, etc.) data handling?*</v>
      </c>
      <c r="D36" s="209" t="str">
        <f>IFERROR(VLOOKUP($B36,'Institution Evaluation'!$A$55:$F$345,3,0),IFERROR(VLOOKUP($B36,'Privacy Analyst Evaluation'!$A$46:$F$120,3,0),""))&amp;""</f>
        <v/>
      </c>
      <c r="E36" s="209" t="str">
        <f>IFERROR(VLOOKUP($B36,'Institution Evaluation'!$A$55:$F$345,4,0),IFERROR(VLOOKUP($B36,'Privacy Analyst Evaluation'!$A$46:$F$120,4,0),""))&amp;""</f>
        <v>This question does not apply.</v>
      </c>
      <c r="F36" s="209" t="str">
        <f>IFERROR(VLOOKUP($B36,'Institution Evaluation'!$A$55:$F$345,6,0),IFERROR(VLOOKUP($B36,'Privacy Analyst Evaluation'!$A$46:$F$120,6,0),""))&amp;""</f>
        <v/>
      </c>
      <c r="G36" s="210"/>
      <c r="H36" s="209" t="str">
        <f>IFERROR(IF($H35+1&gt;'(backend scoring)'!$Q$335,"",$H35+1),"")</f>
        <v/>
      </c>
      <c r="I36" s="209" t="str">
        <f>_xlfn.XLOOKUP($H36,'(backend scoring)'!$S$2:$S$333,'(backend scoring)'!$A$2:$A$333,"")</f>
        <v/>
      </c>
      <c r="J36" s="209" t="str">
        <f>IFERROR(VLOOKUP($I36,'Institution Evaluation'!$A$55:$F$345,2,0),IFERROR(VLOOKUP($I36,'Privacy Analyst Evaluation'!$A$46:$F$120,2,0),""))</f>
        <v/>
      </c>
      <c r="K36" s="209" t="str">
        <f>IFERROR(VLOOKUP($I36,'Institution Evaluation'!$A$55:$F$345,3,0),IFERROR(VLOOKUP($I36,'Privacy Analyst Evaluation'!$A$46:$F$120,3,0),""))&amp;""</f>
        <v/>
      </c>
      <c r="L36" s="209" t="str">
        <f>IFERROR(VLOOKUP($I36,'Institution Evaluation'!$A$55:$F$345,4,0),IFERROR(VLOOKUP($I36,'Privacy Analyst Evaluation'!$A$46:$F$120,4,0),""))&amp;""</f>
        <v/>
      </c>
      <c r="M36" s="209" t="str">
        <f>IFERROR(VLOOKUP($I36,'Institution Evaluation'!$A$55:$F$345,6,0),IFERROR(VLOOKUP($I36,'Privacy Analyst Evaluation'!$A$46:$F$120,6,0),""))&amp;""</f>
        <v/>
      </c>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row>
    <row r="37" spans="1:338" ht="48.6" x14ac:dyDescent="0.3">
      <c r="A37" s="209">
        <f>IFERROR(IF($A36+1&gt;'(backend scoring)'!$T$335,"",$A36+1),"")</f>
        <v>13</v>
      </c>
      <c r="B37" s="209" t="str">
        <f>_xlfn.XLOOKUP($A37,'(backend scoring)'!$V$2:$V$333,'(backend scoring)'!$A$2:$A$333,"")</f>
        <v>CONS-03</v>
      </c>
      <c r="C37" s="209" t="str">
        <f>IFERROR(VLOOKUP($B37,'Institution Evaluation'!$A$55:$F$345,2,0),IFERROR(VLOOKUP($B37,'Privacy Analyst Evaluation'!$A$46:$F$120,2,0),""))&amp;""</f>
        <v>Is the data encrypted (at rest) while in the consultant's possession?*</v>
      </c>
      <c r="D37" s="209" t="str">
        <f>IFERROR(VLOOKUP($B37,'Institution Evaluation'!$A$55:$F$345,3,0),IFERROR(VLOOKUP($B37,'Privacy Analyst Evaluation'!$A$46:$F$120,3,0),""))&amp;""</f>
        <v/>
      </c>
      <c r="E37" s="209" t="str">
        <f>IFERROR(VLOOKUP($B37,'Institution Evaluation'!$A$55:$F$345,4,0),IFERROR(VLOOKUP($B37,'Privacy Analyst Evaluation'!$A$46:$F$120,4,0),""))&amp;""</f>
        <v>This question does not apply.</v>
      </c>
      <c r="F37" s="209" t="str">
        <f>IFERROR(VLOOKUP($B37,'Institution Evaluation'!$A$55:$F$345,6,0),IFERROR(VLOOKUP($B37,'Privacy Analyst Evaluation'!$A$46:$F$120,6,0),""))&amp;""</f>
        <v/>
      </c>
      <c r="G37" s="210"/>
      <c r="H37" s="209" t="str">
        <f>IFERROR(IF($H36+1&gt;'(backend scoring)'!$Q$335,"",$H36+1),"")</f>
        <v/>
      </c>
      <c r="I37" s="209" t="str">
        <f>_xlfn.XLOOKUP($H37,'(backend scoring)'!$S$2:$S$333,'(backend scoring)'!$A$2:$A$333,"")</f>
        <v/>
      </c>
      <c r="J37" s="209" t="str">
        <f>IFERROR(VLOOKUP($I37,'Institution Evaluation'!$A$55:$F$345,2,0),IFERROR(VLOOKUP($I37,'Privacy Analyst Evaluation'!$A$46:$F$120,2,0),""))</f>
        <v/>
      </c>
      <c r="K37" s="209" t="str">
        <f>IFERROR(VLOOKUP($I37,'Institution Evaluation'!$A$55:$F$345,3,0),IFERROR(VLOOKUP($I37,'Privacy Analyst Evaluation'!$A$46:$F$120,3,0),""))&amp;""</f>
        <v/>
      </c>
      <c r="L37" s="209" t="str">
        <f>IFERROR(VLOOKUP($I37,'Institution Evaluation'!$A$55:$F$345,4,0),IFERROR(VLOOKUP($I37,'Privacy Analyst Evaluation'!$A$46:$F$120,4,0),""))&amp;""</f>
        <v/>
      </c>
      <c r="M37" s="209" t="str">
        <f>IFERROR(VLOOKUP($I37,'Institution Evaluation'!$A$55:$F$345,6,0),IFERROR(VLOOKUP($I37,'Privacy Analyst Evaluation'!$A$46:$F$120,6,0),""))&amp;""</f>
        <v/>
      </c>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row>
    <row r="38" spans="1:338" ht="53.25" customHeight="1" x14ac:dyDescent="0.3">
      <c r="A38" s="209">
        <f>IFERROR(IF($A37+1&gt;'(backend scoring)'!$T$335,"",$A37+1),"")</f>
        <v>14</v>
      </c>
      <c r="B38" s="209" t="str">
        <f>_xlfn.XLOOKUP($A38,'(backend scoring)'!$V$2:$V$333,'(backend scoring)'!$A$2:$A$333,"")</f>
        <v>CONS-04</v>
      </c>
      <c r="C38" s="209" t="str">
        <f>IFERROR(VLOOKUP($B38,'Institution Evaluation'!$A$55:$F$345,2,0),IFERROR(VLOOKUP($B38,'Privacy Analyst Evaluation'!$A$46:$F$120,2,0),""))&amp;""</f>
        <v>Can access be restricted based on source IP address?*</v>
      </c>
      <c r="D38" s="209" t="str">
        <f>IFERROR(VLOOKUP($B38,'Institution Evaluation'!$A$55:$F$345,3,0),IFERROR(VLOOKUP($B38,'Privacy Analyst Evaluation'!$A$46:$F$120,3,0),""))&amp;""</f>
        <v/>
      </c>
      <c r="E38" s="209" t="str">
        <f>IFERROR(VLOOKUP($B38,'Institution Evaluation'!$A$55:$F$345,4,0),IFERROR(VLOOKUP($B38,'Privacy Analyst Evaluation'!$A$46:$F$120,4,0),""))&amp;""</f>
        <v>This question does not apply.</v>
      </c>
      <c r="F38" s="209" t="str">
        <f>IFERROR(VLOOKUP($B38,'Institution Evaluation'!$A$55:$F$345,6,0),IFERROR(VLOOKUP($B38,'Privacy Analyst Evaluation'!$A$46:$F$120,6,0),""))&amp;""</f>
        <v/>
      </c>
      <c r="G38" s="210"/>
      <c r="H38" s="209" t="str">
        <f>IFERROR(IF($H37+1&gt;'(backend scoring)'!$Q$335,"",$H37+1),"")</f>
        <v/>
      </c>
      <c r="I38" s="209" t="str">
        <f>_xlfn.XLOOKUP($H38,'(backend scoring)'!$S$2:$S$333,'(backend scoring)'!$A$2:$A$333,"")</f>
        <v/>
      </c>
      <c r="J38" s="209" t="str">
        <f>IFERROR(VLOOKUP($I38,'Institution Evaluation'!$A$55:$F$345,2,0),IFERROR(VLOOKUP($I38,'Privacy Analyst Evaluation'!$A$46:$F$120,2,0),""))</f>
        <v/>
      </c>
      <c r="K38" s="209" t="str">
        <f>IFERROR(VLOOKUP($I38,'Institution Evaluation'!$A$55:$F$345,3,0),IFERROR(VLOOKUP($I38,'Privacy Analyst Evaluation'!$A$46:$F$120,3,0),""))&amp;""</f>
        <v/>
      </c>
      <c r="L38" s="209" t="str">
        <f>IFERROR(VLOOKUP($I38,'Institution Evaluation'!$A$55:$F$345,4,0),IFERROR(VLOOKUP($I38,'Privacy Analyst Evaluation'!$A$46:$F$120,4,0),""))&amp;""</f>
        <v/>
      </c>
      <c r="M38" s="209" t="str">
        <f>IFERROR(VLOOKUP($I38,'Institution Evaluation'!$A$55:$F$345,6,0),IFERROR(VLOOKUP($I38,'Privacy Analyst Evaluation'!$A$46:$F$120,6,0),""))&amp;""</f>
        <v/>
      </c>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row>
    <row r="39" spans="1:338" ht="372.6" x14ac:dyDescent="0.3">
      <c r="A39" s="209">
        <f>IFERROR(IF($A38+1&gt;'(backend scoring)'!$T$335,"",$A38+1),"")</f>
        <v>15</v>
      </c>
      <c r="B39" s="209" t="str">
        <f>_xlfn.XLOOKUP($A39,'(backend scoring)'!$V$2:$V$333,'(backend scoring)'!$A$2:$A$333,"")</f>
        <v>APPL-01</v>
      </c>
      <c r="C39" s="209" t="str">
        <f>IFERROR(VLOOKUP($B39,'Institution Evaluation'!$A$55:$F$345,2,0),IFERROR(VLOOKUP($B39,'Privacy Analyst Evaluation'!$A$46:$F$120,2,0),""))&amp;""</f>
        <v>Are access controls for institutional accounts based on structured rules, such as role-based access control (RBAC), attribute-based access control (ABAC), or policy-based access control (PBAC)?*</v>
      </c>
      <c r="D39" s="209" t="str">
        <f>IFERROR(VLOOKUP($B39,'Institution Evaluation'!$A$55:$F$345,3,0),IFERROR(VLOOKUP($B39,'Privacy Analyst Evaluation'!$A$46:$F$120,3,0),""))&amp;""</f>
        <v>Yes</v>
      </c>
      <c r="E39" s="209" t="str">
        <f>IFERROR(VLOOKUP($B39,'Institution Evaluation'!$A$55:$F$345,4,0),IFERROR(VLOOKUP($B39,'Privacy Analyst Evaluation'!$A$46:$F$120,4,0),""))&amp;""</f>
        <v>Access controls for institutional accounts are based on structured rules. End-user access is governed by the institution's LMS RBAC (Moodle native or LTI-passthrough), which Cursive inherits — student, instructor, and administrator roles are determined by the LMS and propagated to TypeID functionality (e.g., instructors see authorship reports for their courses; students see their own data). For institutional administrative access to Cursive-side controls, RBAC is enforced via AWS IAM with least-privilege scoping.</v>
      </c>
      <c r="F39" s="209" t="str">
        <f>IFERROR(VLOOKUP($B39,'Institution Evaluation'!$A$55:$F$345,6,0),IFERROR(VLOOKUP($B39,'Privacy Analyst Evaluation'!$A$46:$F$120,6,0),""))&amp;""</f>
        <v/>
      </c>
      <c r="G39" s="210"/>
      <c r="H39" s="209" t="str">
        <f>IFERROR(IF($H38+1&gt;'(backend scoring)'!$Q$335,"",$H38+1),"")</f>
        <v/>
      </c>
      <c r="I39" s="209" t="str">
        <f>_xlfn.XLOOKUP($H39,'(backend scoring)'!$S$2:$S$333,'(backend scoring)'!$A$2:$A$333,"")</f>
        <v/>
      </c>
      <c r="J39" s="209" t="str">
        <f>IFERROR(VLOOKUP($I39,'Institution Evaluation'!$A$55:$F$345,2,0),IFERROR(VLOOKUP($I39,'Privacy Analyst Evaluation'!$A$46:$F$120,2,0),""))</f>
        <v/>
      </c>
      <c r="K39" s="209" t="str">
        <f>IFERROR(VLOOKUP($I39,'Institution Evaluation'!$A$55:$F$345,3,0),IFERROR(VLOOKUP($I39,'Privacy Analyst Evaluation'!$A$46:$F$120,3,0),""))&amp;""</f>
        <v/>
      </c>
      <c r="L39" s="209" t="str">
        <f>IFERROR(VLOOKUP($I39,'Institution Evaluation'!$A$55:$F$345,4,0),IFERROR(VLOOKUP($I39,'Privacy Analyst Evaluation'!$A$46:$F$120,4,0),""))&amp;""</f>
        <v/>
      </c>
      <c r="M39" s="209" t="str">
        <f>IFERROR(VLOOKUP($I39,'Institution Evaluation'!$A$55:$F$345,6,0),IFERROR(VLOOKUP($I39,'Privacy Analyst Evaluation'!$A$46:$F$120,6,0),""))&amp;""</f>
        <v/>
      </c>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row>
    <row r="40" spans="1:338" ht="32.4" x14ac:dyDescent="0.3">
      <c r="A40" s="209">
        <f>IFERROR(IF($A39+1&gt;'(backend scoring)'!$T$335,"",$A39+1),"")</f>
        <v>16</v>
      </c>
      <c r="B40" s="209" t="str">
        <f>_xlfn.XLOOKUP($A40,'(backend scoring)'!$V$2:$V$333,'(backend scoring)'!$A$2:$A$333,"")</f>
        <v>APPL-02</v>
      </c>
      <c r="C40" s="209" t="str">
        <f>IFERROR(VLOOKUP($B40,'Institution Evaluation'!$A$55:$F$345,2,0),IFERROR(VLOOKUP($B40,'Privacy Analyst Evaluation'!$A$46:$F$120,2,0),""))&amp;""</f>
        <v>Are you using a web application firewall (WAF)?*</v>
      </c>
      <c r="D40" s="209" t="str">
        <f>IFERROR(VLOOKUP($B40,'Institution Evaluation'!$A$55:$F$345,3,0),IFERROR(VLOOKUP($B40,'Privacy Analyst Evaluation'!$A$46:$F$120,3,0),""))&amp;""</f>
        <v/>
      </c>
      <c r="E40" s="209" t="str">
        <f>IFERROR(VLOOKUP($B40,'Institution Evaluation'!$A$55:$F$345,4,0),IFERROR(VLOOKUP($B40,'Privacy Analyst Evaluation'!$A$46:$F$120,4,0),""))&amp;""</f>
        <v/>
      </c>
      <c r="F40" s="209" t="str">
        <f>IFERROR(VLOOKUP($B40,'Institution Evaluation'!$A$55:$F$345,6,0),IFERROR(VLOOKUP($B40,'Privacy Analyst Evaluation'!$A$46:$F$120,6,0),""))&amp;""</f>
        <v/>
      </c>
      <c r="G40" s="210"/>
      <c r="H40" s="209" t="str">
        <f>IFERROR(IF($H39+1&gt;'(backend scoring)'!$Q$335,"",$H39+1),"")</f>
        <v/>
      </c>
      <c r="I40" s="209" t="str">
        <f>_xlfn.XLOOKUP($H40,'(backend scoring)'!$S$2:$S$333,'(backend scoring)'!$A$2:$A$333,"")</f>
        <v/>
      </c>
      <c r="J40" s="209" t="str">
        <f>IFERROR(VLOOKUP($I40,'Institution Evaluation'!$A$55:$F$345,2,0),IFERROR(VLOOKUP($I40,'Privacy Analyst Evaluation'!$A$46:$F$120,2,0),""))</f>
        <v/>
      </c>
      <c r="K40" s="209" t="str">
        <f>IFERROR(VLOOKUP($I40,'Institution Evaluation'!$A$55:$F$345,3,0),IFERROR(VLOOKUP($I40,'Privacy Analyst Evaluation'!$A$46:$F$120,3,0),""))&amp;""</f>
        <v/>
      </c>
      <c r="L40" s="209" t="str">
        <f>IFERROR(VLOOKUP($I40,'Institution Evaluation'!$A$55:$F$345,4,0),IFERROR(VLOOKUP($I40,'Privacy Analyst Evaluation'!$A$46:$F$120,4,0),""))&amp;""</f>
        <v/>
      </c>
      <c r="M40" s="209" t="str">
        <f>IFERROR(VLOOKUP($I40,'Institution Evaluation'!$A$55:$F$345,6,0),IFERROR(VLOOKUP($I40,'Privacy Analyst Evaluation'!$A$46:$F$120,6,0),""))&amp;""</f>
        <v/>
      </c>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row>
    <row r="41" spans="1:338" ht="409.6" x14ac:dyDescent="0.3">
      <c r="A41" s="209">
        <f>IFERROR(IF($A40+1&gt;'(backend scoring)'!$T$335,"",$A40+1),"")</f>
        <v>17</v>
      </c>
      <c r="B41" s="209" t="str">
        <f>_xlfn.XLOOKUP($A41,'(backend scoring)'!$V$2:$V$333,'(backend scoring)'!$A$2:$A$333,"")</f>
        <v>APPL-03</v>
      </c>
      <c r="C41" s="209" t="str">
        <f>IFERROR(VLOOKUP($B41,'Institution Evaluation'!$A$55:$F$345,2,0),IFERROR(VLOOKUP($B41,'Privacy Analyst Evaluation'!$A$46:$F$120,2,0),""))&amp;""</f>
        <v>Are only currently supported operating system(s), software, and libraries leveraged by the system(s)/application(s) that will have access to institution's data?*</v>
      </c>
      <c r="D41" s="209" t="str">
        <f>IFERROR(VLOOKUP($B41,'Institution Evaluation'!$A$55:$F$345,3,0),IFERROR(VLOOKUP($B41,'Privacy Analyst Evaluation'!$A$46:$F$120,3,0),""))&amp;""</f>
        <v>Yes</v>
      </c>
      <c r="E41" s="209" t="str">
        <f>IFERROR(VLOOKUP($B41,'Institution Evaluation'!$A$55:$F$345,4,0),IFERROR(VLOOKUP($B41,'Privacy Analyst Evaluation'!$A$46:$F$120,4,0),""))&amp;""</f>
        <v>All operating systems, software libraries, and frameworks leveraged by TypeID systems with access to institutional data are currently supported and receive vendor security updates. The AWS infrastructure layer uses currently-supported AWS-managed services (EKS, RDS, S3, etc.). Application-layer dependencies (Moodle plugin code, browser extension code, server-side API code) are managed via GitHub with Dependabot monitoring for end-of-life or vulnerable dependencies. Outdated or unsupported components identified through dependency review are remediated per the POAM and Linear ticket workflow.</v>
      </c>
      <c r="F41" s="209" t="str">
        <f>IFERROR(VLOOKUP($B41,'Institution Evaluation'!$A$55:$F$345,6,0),IFERROR(VLOOKUP($B41,'Privacy Analyst Evaluation'!$A$46:$F$120,6,0),""))&amp;""</f>
        <v/>
      </c>
      <c r="G41" s="210"/>
      <c r="H41" s="209" t="str">
        <f>IFERROR(IF($H40+1&gt;'(backend scoring)'!$Q$335,"",$H40+1),"")</f>
        <v/>
      </c>
      <c r="I41" s="209" t="str">
        <f>_xlfn.XLOOKUP($H41,'(backend scoring)'!$S$2:$S$333,'(backend scoring)'!$A$2:$A$333,"")</f>
        <v/>
      </c>
      <c r="J41" s="209" t="str">
        <f>IFERROR(VLOOKUP($I41,'Institution Evaluation'!$A$55:$F$345,2,0),IFERROR(VLOOKUP($I41,'Privacy Analyst Evaluation'!$A$46:$F$120,2,0),""))</f>
        <v/>
      </c>
      <c r="K41" s="209" t="str">
        <f>IFERROR(VLOOKUP($I41,'Institution Evaluation'!$A$55:$F$345,3,0),IFERROR(VLOOKUP($I41,'Privacy Analyst Evaluation'!$A$46:$F$120,3,0),""))&amp;""</f>
        <v/>
      </c>
      <c r="L41" s="209" t="str">
        <f>IFERROR(VLOOKUP($I41,'Institution Evaluation'!$A$55:$F$345,4,0),IFERROR(VLOOKUP($I41,'Privacy Analyst Evaluation'!$A$46:$F$120,4,0),""))&amp;""</f>
        <v/>
      </c>
      <c r="M41" s="209" t="str">
        <f>IFERROR(VLOOKUP($I41,'Institution Evaluation'!$A$55:$F$345,6,0),IFERROR(VLOOKUP($I41,'Privacy Analyst Evaluation'!$A$46:$F$120,6,0),""))&amp;""</f>
        <v/>
      </c>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row>
    <row r="42" spans="1:338" ht="259.2" x14ac:dyDescent="0.3">
      <c r="A42" s="209">
        <f>IFERROR(IF($A41+1&gt;'(backend scoring)'!$T$335,"",$A41+1),"")</f>
        <v>18</v>
      </c>
      <c r="B42" s="209" t="str">
        <f>_xlfn.XLOOKUP($A42,'(backend scoring)'!$V$2:$V$333,'(backend scoring)'!$A$2:$A$333,"")</f>
        <v>APPL-04</v>
      </c>
      <c r="C42" s="209" t="str">
        <f>IFERROR(VLOOKUP($B42,'Institution Evaluation'!$A$55:$F$345,2,0),IFERROR(VLOOKUP($B42,'Privacy Analyst Evaluation'!$A$46:$F$120,2,0),""))&amp;""</f>
        <v>Does your application require access to location or GPS data?*</v>
      </c>
      <c r="D42" s="209" t="str">
        <f>IFERROR(VLOOKUP($B42,'Institution Evaluation'!$A$55:$F$345,3,0),IFERROR(VLOOKUP($B42,'Privacy Analyst Evaluation'!$A$46:$F$120,3,0),""))&amp;""</f>
        <v>No</v>
      </c>
      <c r="E42" s="209" t="str">
        <f>IFERROR(VLOOKUP($B42,'Institution Evaluation'!$A$55:$F$345,4,0),IFERROR(VLOOKUP($B42,'Privacy Analyst Evaluation'!$A$46:$F$120,4,0),""))&amp;""</f>
        <v>TypeID does not require, request, or use location or GPS data. The browser extension and Moodle plugin do not access geolocation APIs. The data inventory is limited to writing process telemetry (canvas activity, pastes, final text, keystroke timing) and an opaque LMS-issued UUID — no location, GPS, geographic, or geolocation data is collected or processed.</v>
      </c>
      <c r="F42" s="209" t="str">
        <f>IFERROR(VLOOKUP($B42,'Institution Evaluation'!$A$55:$F$345,6,0),IFERROR(VLOOKUP($B42,'Privacy Analyst Evaluation'!$A$46:$F$120,6,0),""))&amp;""</f>
        <v/>
      </c>
      <c r="G42" s="210"/>
      <c r="H42" s="209" t="str">
        <f>IFERROR(IF($H41+1&gt;'(backend scoring)'!$Q$335,"",$H41+1),"")</f>
        <v/>
      </c>
      <c r="I42" s="209" t="str">
        <f>_xlfn.XLOOKUP($H42,'(backend scoring)'!$S$2:$S$333,'(backend scoring)'!$A$2:$A$333,"")</f>
        <v/>
      </c>
      <c r="J42" s="209" t="str">
        <f>IFERROR(VLOOKUP($I42,'Institution Evaluation'!$A$55:$F$345,2,0),IFERROR(VLOOKUP($I42,'Privacy Analyst Evaluation'!$A$46:$F$120,2,0),""))</f>
        <v/>
      </c>
      <c r="K42" s="209" t="str">
        <f>IFERROR(VLOOKUP($I42,'Institution Evaluation'!$A$55:$F$345,3,0),IFERROR(VLOOKUP($I42,'Privacy Analyst Evaluation'!$A$46:$F$120,3,0),""))&amp;""</f>
        <v/>
      </c>
      <c r="L42" s="209" t="str">
        <f>IFERROR(VLOOKUP($I42,'Institution Evaluation'!$A$55:$F$345,4,0),IFERROR(VLOOKUP($I42,'Privacy Analyst Evaluation'!$A$46:$F$120,4,0),""))&amp;""</f>
        <v/>
      </c>
      <c r="M42" s="209" t="str">
        <f>IFERROR(VLOOKUP($I42,'Institution Evaluation'!$A$55:$F$345,6,0),IFERROR(VLOOKUP($I42,'Privacy Analyst Evaluation'!$A$46:$F$120,6,0),""))&amp;""</f>
        <v/>
      </c>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row>
    <row r="43" spans="1:338" ht="409.6" x14ac:dyDescent="0.3">
      <c r="A43" s="209">
        <f>IFERROR(IF($A42+1&gt;'(backend scoring)'!$T$335,"",$A42+1),"")</f>
        <v>19</v>
      </c>
      <c r="B43" s="209" t="str">
        <f>_xlfn.XLOOKUP($A43,'(backend scoring)'!$V$2:$V$333,'(backend scoring)'!$A$2:$A$333,"")</f>
        <v>APPL-05</v>
      </c>
      <c r="C43" s="209" t="str">
        <f>IFERROR(VLOOKUP($B43,'Institution Evaluation'!$A$55:$F$345,2,0),IFERROR(VLOOKUP($B43,'Privacy Analyst Evaluation'!$A$46:$F$120,2,0),""))&amp;""</f>
        <v>Does your application provide separation of duties between security administration, system administration, and standard user functions?*</v>
      </c>
      <c r="D43" s="209" t="str">
        <f>IFERROR(VLOOKUP($B43,'Institution Evaluation'!$A$55:$F$345,3,0),IFERROR(VLOOKUP($B43,'Privacy Analyst Evaluation'!$A$46:$F$120,3,0),""))&amp;""</f>
        <v>No</v>
      </c>
      <c r="E43" s="209" t="str">
        <f>IFERROR(VLOOKUP($B43,'Institution Evaluation'!$A$55:$F$345,4,0),IFERROR(VLOOKUP($B43,'Privacy Analyst Evaluation'!$A$46:$F$120,4,0),""))&amp;""</f>
        <v xml:space="preserve">Partly - Separation of duties is partially implemented given current company size. Security administration, system administration, and standard user functions are scoped via AWS IAM roles with least-privilege access — production AWS access is gated through IAM, code deployment is gated through GitHub branch protection and pull request review, and administrative changes to TypeID configuration require Founder/CEO approval. Strict role separation between security administration and system administration is constrained by the small team size (the Founder/CEO performs both functions in some workflows). Compensating controls include comprehensive audit logging (AWS CloudTrail, GitHub audit log) and the IAM-mediated access model that produces a clear audit trail for all administrative actions. Formal separation of duties is anticipated as the team scales and is on the roadmap as part of SOC 2 preparation.
</v>
      </c>
      <c r="F43" s="209" t="str">
        <f>IFERROR(VLOOKUP($B43,'Institution Evaluation'!$A$55:$F$345,6,0),IFERROR(VLOOKUP($B43,'Privacy Analyst Evaluation'!$A$46:$F$120,6,0),""))&amp;""</f>
        <v/>
      </c>
      <c r="G43" s="210"/>
      <c r="H43" s="209" t="str">
        <f>IFERROR(IF($H42+1&gt;'(backend scoring)'!$Q$335,"",$H42+1),"")</f>
        <v/>
      </c>
      <c r="I43" s="209" t="str">
        <f>_xlfn.XLOOKUP($H43,'(backend scoring)'!$S$2:$S$333,'(backend scoring)'!$A$2:$A$333,"")</f>
        <v/>
      </c>
      <c r="J43" s="209" t="str">
        <f>IFERROR(VLOOKUP($I43,'Institution Evaluation'!$A$55:$F$345,2,0),IFERROR(VLOOKUP($I43,'Privacy Analyst Evaluation'!$A$46:$F$120,2,0),""))</f>
        <v/>
      </c>
      <c r="K43" s="209" t="str">
        <f>IFERROR(VLOOKUP($I43,'Institution Evaluation'!$A$55:$F$345,3,0),IFERROR(VLOOKUP($I43,'Privacy Analyst Evaluation'!$A$46:$F$120,3,0),""))&amp;""</f>
        <v/>
      </c>
      <c r="L43" s="209" t="str">
        <f>IFERROR(VLOOKUP($I43,'Institution Evaluation'!$A$55:$F$345,4,0),IFERROR(VLOOKUP($I43,'Privacy Analyst Evaluation'!$A$46:$F$120,4,0),""))&amp;""</f>
        <v/>
      </c>
      <c r="M43" s="209" t="str">
        <f>IFERROR(VLOOKUP($I43,'Institution Evaluation'!$A$55:$F$345,6,0),IFERROR(VLOOKUP($I43,'Privacy Analyst Evaluation'!$A$46:$F$120,6,0),""))&amp;""</f>
        <v/>
      </c>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row>
    <row r="44" spans="1:338" ht="409.6" x14ac:dyDescent="0.3">
      <c r="A44" s="209">
        <f>IFERROR(IF($A43+1&gt;'(backend scoring)'!$T$335,"",$A43+1),"")</f>
        <v>20</v>
      </c>
      <c r="B44" s="209" t="str">
        <f>_xlfn.XLOOKUP($A44,'(backend scoring)'!$V$2:$V$333,'(backend scoring)'!$A$2:$A$333,"")</f>
        <v>APPL-06</v>
      </c>
      <c r="C44" s="209" t="str">
        <f>IFERROR(VLOOKUP($B44,'Institution Evaluation'!$A$55:$F$345,2,0),IFERROR(VLOOKUP($B44,'Privacy Analyst Evaluation'!$A$46:$F$120,2,0),""))&amp;""</f>
        <v>Do you subject your code to static code analysis and/or static application security testing prior to release?*</v>
      </c>
      <c r="D44" s="209" t="str">
        <f>IFERROR(VLOOKUP($B44,'Institution Evaluation'!$A$55:$F$345,3,0),IFERROR(VLOOKUP($B44,'Privacy Analyst Evaluation'!$A$46:$F$120,3,0),""))&amp;""</f>
        <v>No</v>
      </c>
      <c r="E44" s="209" t="str">
        <f>IFERROR(VLOOKUP($B44,'Institution Evaluation'!$A$55:$F$345,4,0),IFERROR(VLOOKUP($B44,'Privacy Analyst Evaluation'!$A$46:$F$120,4,0),""))&amp;""</f>
        <v xml:space="preserve">Partly - Cursive uses GitHub-native code analysis tools including CodeQL (where applicable to languages used) and Dependabot for vulnerability scanning of dependencies. A dedicated commercial Static Application Security Testing (SAST) tool (e.g., Snyk, SonarQube, Checkmarx) is not currently deployed. SAST tooling is on the application security roadmap alongside the AWS security certification effort. Pre-release security review is performed through manual code review during the pull request workflow per the Cursive SDLC, and inputs are validated as described in APPL-09 / AISC-04.
</v>
      </c>
      <c r="F44" s="209" t="str">
        <f>IFERROR(VLOOKUP($B44,'Institution Evaluation'!$A$55:$F$345,6,0),IFERROR(VLOOKUP($B44,'Privacy Analyst Evaluation'!$A$46:$F$120,6,0),""))&amp;""</f>
        <v/>
      </c>
      <c r="G44" s="210"/>
      <c r="H44" s="209" t="str">
        <f>IFERROR(IF($H43+1&gt;'(backend scoring)'!$Q$335,"",$H43+1),"")</f>
        <v/>
      </c>
      <c r="I44" s="209" t="str">
        <f>_xlfn.XLOOKUP($H44,'(backend scoring)'!$S$2:$S$333,'(backend scoring)'!$A$2:$A$333,"")</f>
        <v/>
      </c>
      <c r="J44" s="209" t="str">
        <f>IFERROR(VLOOKUP($I44,'Institution Evaluation'!$A$55:$F$345,2,0),IFERROR(VLOOKUP($I44,'Privacy Analyst Evaluation'!$A$46:$F$120,2,0),""))</f>
        <v/>
      </c>
      <c r="K44" s="209" t="str">
        <f>IFERROR(VLOOKUP($I44,'Institution Evaluation'!$A$55:$F$345,3,0),IFERROR(VLOOKUP($I44,'Privacy Analyst Evaluation'!$A$46:$F$120,3,0),""))&amp;""</f>
        <v/>
      </c>
      <c r="L44" s="209" t="str">
        <f>IFERROR(VLOOKUP($I44,'Institution Evaluation'!$A$55:$F$345,4,0),IFERROR(VLOOKUP($I44,'Privacy Analyst Evaluation'!$A$46:$F$120,4,0),""))&amp;""</f>
        <v/>
      </c>
      <c r="M44" s="209" t="str">
        <f>IFERROR(VLOOKUP($I44,'Institution Evaluation'!$A$55:$F$345,6,0),IFERROR(VLOOKUP($I44,'Privacy Analyst Evaluation'!$A$46:$F$120,6,0),""))&amp;""</f>
        <v/>
      </c>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row>
    <row r="45" spans="1:338" ht="409.6" x14ac:dyDescent="0.3">
      <c r="A45" s="209">
        <f>IFERROR(IF($A44+1&gt;'(backend scoring)'!$T$335,"",$A44+1),"")</f>
        <v>21</v>
      </c>
      <c r="B45" s="209" t="str">
        <f>_xlfn.XLOOKUP($A45,'(backend scoring)'!$V$2:$V$333,'(backend scoring)'!$A$2:$A$333,"")</f>
        <v>APPL-07</v>
      </c>
      <c r="C45" s="209" t="str">
        <f>IFERROR(VLOOKUP($B45,'Institution Evaluation'!$A$55:$F$345,2,0),IFERROR(VLOOKUP($B45,'Privacy Analyst Evaluation'!$A$46:$F$120,2,0),""))&amp;""</f>
        <v>Do you have software testing processes (dynamic or static) that are established and followed?*</v>
      </c>
      <c r="D45" s="209" t="str">
        <f>IFERROR(VLOOKUP($B45,'Institution Evaluation'!$A$55:$F$345,3,0),IFERROR(VLOOKUP($B45,'Privacy Analyst Evaluation'!$A$46:$F$120,3,0),""))&amp;""</f>
        <v>Yes</v>
      </c>
      <c r="E45" s="209" t="str">
        <f>IFERROR(VLOOKUP($B45,'Institution Evaluation'!$A$55:$F$345,4,0),IFERROR(VLOOKUP($B45,'Privacy Analyst Evaluation'!$A$46:$F$120,4,0),""))&amp;""</f>
        <v>Cursive maintains established and followed software testing processes per the Cursive SDLC. The release workflow includes: (1) Triage and Backlog review for ticket scoping; (2) In Progress development with developer-level testing; (3) QA with PR staging, code review, and visual/functional verification (including screenshots where applicable) by another team member; (4) Release staging and final QA across all merged tickets before production deployment; (5) Done state for completed/released work. All changes flow through this process before reaching production institutional environments.</v>
      </c>
      <c r="F45" s="209" t="str">
        <f>IFERROR(VLOOKUP($B45,'Institution Evaluation'!$A$55:$F$345,6,0),IFERROR(VLOOKUP($B45,'Privacy Analyst Evaluation'!$A$46:$F$120,6,0),""))&amp;""</f>
        <v/>
      </c>
      <c r="G45" s="210"/>
      <c r="H45" s="209" t="str">
        <f>IFERROR(IF($H44+1&gt;'(backend scoring)'!$Q$335,"",$H44+1),"")</f>
        <v/>
      </c>
      <c r="I45" s="209" t="str">
        <f>_xlfn.XLOOKUP($H45,'(backend scoring)'!$S$2:$S$333,'(backend scoring)'!$A$2:$A$333,"")</f>
        <v/>
      </c>
      <c r="J45" s="209" t="str">
        <f>IFERROR(VLOOKUP($I45,'Institution Evaluation'!$A$55:$F$345,2,0),IFERROR(VLOOKUP($I45,'Privacy Analyst Evaluation'!$A$46:$F$120,2,0),""))</f>
        <v/>
      </c>
      <c r="K45" s="209" t="str">
        <f>IFERROR(VLOOKUP($I45,'Institution Evaluation'!$A$55:$F$345,3,0),IFERROR(VLOOKUP($I45,'Privacy Analyst Evaluation'!$A$46:$F$120,3,0),""))&amp;""</f>
        <v/>
      </c>
      <c r="L45" s="209" t="str">
        <f>IFERROR(VLOOKUP($I45,'Institution Evaluation'!$A$55:$F$345,4,0),IFERROR(VLOOKUP($I45,'Privacy Analyst Evaluation'!$A$46:$F$120,4,0),""))&amp;""</f>
        <v/>
      </c>
      <c r="M45" s="209" t="str">
        <f>IFERROR(VLOOKUP($I45,'Institution Evaluation'!$A$55:$F$345,6,0),IFERROR(VLOOKUP($I45,'Privacy Analyst Evaluation'!$A$46:$F$120,6,0),""))&amp;""</f>
        <v/>
      </c>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row>
    <row r="46" spans="1:338" ht="405" x14ac:dyDescent="0.3">
      <c r="A46" s="209">
        <f>IFERROR(IF($A45+1&gt;'(backend scoring)'!$T$335,"",$A45+1),"")</f>
        <v>22</v>
      </c>
      <c r="B46" s="209" t="str">
        <f>_xlfn.XLOOKUP($A46,'(backend scoring)'!$V$2:$V$333,'(backend scoring)'!$A$2:$A$333,"")</f>
        <v>AAAI-01</v>
      </c>
      <c r="C46" s="209" t="str">
        <f>IFERROR(VLOOKUP($B46,'Institution Evaluation'!$A$55:$F$345,2,0),IFERROR(VLOOKUP($B46,'Privacy Analyst Evaluation'!$A$46:$F$120,2,0),""))&amp;""</f>
        <v>Does your solution support single sign-on (SSO) protocols for user and administrator authentication?*</v>
      </c>
      <c r="D46" s="209" t="str">
        <f>IFERROR(VLOOKUP($B46,'Institution Evaluation'!$A$55:$F$345,3,0),IFERROR(VLOOKUP($B46,'Privacy Analyst Evaluation'!$A$46:$F$120,3,0),""))&amp;""</f>
        <v>Yes</v>
      </c>
      <c r="E46" s="209" t="str">
        <f>IFERROR(VLOOKUP($B46,'Institution Evaluation'!$A$55:$F$345,4,0),IFERROR(VLOOKUP($B46,'Privacy Analyst Evaluation'!$A$46:$F$120,4,0),""))&amp;""</f>
        <v>All authentication is delegated to LTI and/or the institution's native application (e.g., Moodle). There is no direct end-user or administrator login to Cursive's system. Authentication is brokered securely between the client site and Cursive's API via LMS-issued tokens; no individual login or administrator action is required at the Cursive layer. SSO at the institutional layer is fully supported through the LTI standard and Moodle's native authentication (which itself supports SAML, OIDC, CAS, LDAP, Shibboleth, and other federated authentication protocols).</v>
      </c>
      <c r="F46" s="209" t="str">
        <f>IFERROR(VLOOKUP($B46,'Institution Evaluation'!$A$55:$F$345,6,0),IFERROR(VLOOKUP($B46,'Privacy Analyst Evaluation'!$A$46:$F$120,6,0),""))&amp;""</f>
        <v/>
      </c>
      <c r="G46" s="210"/>
      <c r="H46" s="209" t="str">
        <f>IFERROR(IF($H45+1&gt;'(backend scoring)'!$Q$335,"",$H45+1),"")</f>
        <v/>
      </c>
      <c r="I46" s="209" t="str">
        <f>_xlfn.XLOOKUP($H46,'(backend scoring)'!$S$2:$S$333,'(backend scoring)'!$A$2:$A$333,"")</f>
        <v/>
      </c>
      <c r="J46" s="209" t="str">
        <f>IFERROR(VLOOKUP($I46,'Institution Evaluation'!$A$55:$F$345,2,0),IFERROR(VLOOKUP($I46,'Privacy Analyst Evaluation'!$A$46:$F$120,2,0),""))</f>
        <v/>
      </c>
      <c r="K46" s="209" t="str">
        <f>IFERROR(VLOOKUP($I46,'Institution Evaluation'!$A$55:$F$345,3,0),IFERROR(VLOOKUP($I46,'Privacy Analyst Evaluation'!$A$46:$F$120,3,0),""))&amp;""</f>
        <v/>
      </c>
      <c r="L46" s="209" t="str">
        <f>IFERROR(VLOOKUP($I46,'Institution Evaluation'!$A$55:$F$345,4,0),IFERROR(VLOOKUP($I46,'Privacy Analyst Evaluation'!$A$46:$F$120,4,0),""))&amp;""</f>
        <v/>
      </c>
      <c r="M46" s="209" t="str">
        <f>IFERROR(VLOOKUP($I46,'Institution Evaluation'!$A$55:$F$345,6,0),IFERROR(VLOOKUP($I46,'Privacy Analyst Evaluation'!$A$46:$F$120,6,0),""))&amp;""</f>
        <v/>
      </c>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row>
    <row r="47" spans="1:338" ht="324" x14ac:dyDescent="0.3">
      <c r="A47" s="209">
        <f>IFERROR(IF($A46+1&gt;'(backend scoring)'!$T$335,"",$A46+1),"")</f>
        <v>23</v>
      </c>
      <c r="B47" s="209" t="str">
        <f>_xlfn.XLOOKUP($A47,'(backend scoring)'!$V$2:$V$333,'(backend scoring)'!$A$2:$A$333,"")</f>
        <v>AAAI-02</v>
      </c>
      <c r="C47" s="209" t="str">
        <f>IFERROR(VLOOKUP($B47,'Institution Evaluation'!$A$55:$F$345,2,0),IFERROR(VLOOKUP($B47,'Privacy Analyst Evaluation'!$A$46:$F$120,2,0),""))&amp;""</f>
        <v>For customers not using SSO, does your solution support local authentication protocols for user and administrator authentication?*</v>
      </c>
      <c r="D47" s="209" t="str">
        <f>IFERROR(VLOOKUP($B47,'Institution Evaluation'!$A$55:$F$345,3,0),IFERROR(VLOOKUP($B47,'Privacy Analyst Evaluation'!$A$46:$F$120,3,0),""))&amp;""</f>
        <v>Yes</v>
      </c>
      <c r="E47" s="209" t="str">
        <f>IFERROR(VLOOKUP($B47,'Institution Evaluation'!$A$55:$F$345,4,0),IFERROR(VLOOKUP($B47,'Privacy Analyst Evaluation'!$A$46:$F$120,4,0),""))&amp;""</f>
        <v>Authentication for end users and institutional administrators is delegated entirely to LTI and/or the institution's native application (Moodle). Cursive does not maintain a separate local authentication system for institutional users — there is no direct login to Cursive's system. The institution's local authentication mechanism (Moodle's local password authentication, where applicable) flows through to TypeID via the LMS integration.</v>
      </c>
      <c r="F47" s="209" t="str">
        <f>IFERROR(VLOOKUP($B47,'Institution Evaluation'!$A$55:$F$345,6,0),IFERROR(VLOOKUP($B47,'Privacy Analyst Evaluation'!$A$46:$F$120,6,0),""))&amp;""</f>
        <v/>
      </c>
      <c r="G47" s="210"/>
      <c r="H47" s="209" t="str">
        <f>IFERROR(IF($H46+1&gt;'(backend scoring)'!$Q$335,"",$H46+1),"")</f>
        <v/>
      </c>
      <c r="I47" s="209" t="str">
        <f>_xlfn.XLOOKUP($H47,'(backend scoring)'!$S$2:$S$333,'(backend scoring)'!$A$2:$A$333,"")</f>
        <v/>
      </c>
      <c r="J47" s="209" t="str">
        <f>IFERROR(VLOOKUP($I47,'Institution Evaluation'!$A$55:$F$345,2,0),IFERROR(VLOOKUP($I47,'Privacy Analyst Evaluation'!$A$46:$F$120,2,0),""))</f>
        <v/>
      </c>
      <c r="K47" s="209" t="str">
        <f>IFERROR(VLOOKUP($I47,'Institution Evaluation'!$A$55:$F$345,3,0),IFERROR(VLOOKUP($I47,'Privacy Analyst Evaluation'!$A$46:$F$120,3,0),""))&amp;""</f>
        <v/>
      </c>
      <c r="L47" s="209" t="str">
        <f>IFERROR(VLOOKUP($I47,'Institution Evaluation'!$A$55:$F$345,4,0),IFERROR(VLOOKUP($I47,'Privacy Analyst Evaluation'!$A$46:$F$120,4,0),""))&amp;""</f>
        <v/>
      </c>
      <c r="M47" s="209" t="str">
        <f>IFERROR(VLOOKUP($I47,'Institution Evaluation'!$A$55:$F$345,6,0),IFERROR(VLOOKUP($I47,'Privacy Analyst Evaluation'!$A$46:$F$120,6,0),""))&amp;""</f>
        <v/>
      </c>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row>
    <row r="48" spans="1:338" ht="275.39999999999998" x14ac:dyDescent="0.3">
      <c r="A48" s="209">
        <f>IFERROR(IF($A47+1&gt;'(backend scoring)'!$T$335,"",$A47+1),"")</f>
        <v>24</v>
      </c>
      <c r="B48" s="209" t="str">
        <f>_xlfn.XLOOKUP($A48,'(backend scoring)'!$V$2:$V$333,'(backend scoring)'!$A$2:$A$333,"")</f>
        <v>AAAI-03</v>
      </c>
      <c r="C48" s="209" t="str">
        <f>IFERROR(VLOOKUP($B48,'Institution Evaluation'!$A$55:$F$345,2,0),IFERROR(VLOOKUP($B48,'Privacy Analyst Evaluation'!$A$46:$F$120,2,0),""))&amp;""</f>
        <v>For customers not using SSO, can you enforce password/passphrase complexity requirements (provided by the institution)?*</v>
      </c>
      <c r="D48" s="209" t="str">
        <f>IFERROR(VLOOKUP($B48,'Institution Evaluation'!$A$55:$F$345,3,0),IFERROR(VLOOKUP($B48,'Privacy Analyst Evaluation'!$A$46:$F$120,3,0),""))&amp;""</f>
        <v>Yes</v>
      </c>
      <c r="E48" s="209" t="str">
        <f>IFERROR(VLOOKUP($B48,'Institution Evaluation'!$A$55:$F$345,4,0),IFERROR(VLOOKUP($B48,'Privacy Analyst Evaluation'!$A$46:$F$120,4,0),""))&amp;""</f>
        <v>Password complexity requirements are enforced at the institutional LMS layer (Moodle), where the institution configures its own complexity, length, history, and rotation policies per institutional policy. Cursive inherits whatever password policy the institution has configured. There is no separate Cursive password policy because there is no direct login to Cursive's system.</v>
      </c>
      <c r="F48" s="209" t="str">
        <f>IFERROR(VLOOKUP($B48,'Institution Evaluation'!$A$55:$F$345,6,0),IFERROR(VLOOKUP($B48,'Privacy Analyst Evaluation'!$A$46:$F$120,6,0),""))&amp;""</f>
        <v/>
      </c>
      <c r="G48" s="210"/>
      <c r="H48" s="209" t="str">
        <f>IFERROR(IF($H47+1&gt;'(backend scoring)'!$Q$335,"",$H47+1),"")</f>
        <v/>
      </c>
      <c r="I48" s="209" t="str">
        <f>_xlfn.XLOOKUP($H48,'(backend scoring)'!$S$2:$S$333,'(backend scoring)'!$A$2:$A$333,"")</f>
        <v/>
      </c>
      <c r="J48" s="209" t="str">
        <f>IFERROR(VLOOKUP($I48,'Institution Evaluation'!$A$55:$F$345,2,0),IFERROR(VLOOKUP($I48,'Privacy Analyst Evaluation'!$A$46:$F$120,2,0),""))</f>
        <v/>
      </c>
      <c r="K48" s="209" t="str">
        <f>IFERROR(VLOOKUP($I48,'Institution Evaluation'!$A$55:$F$345,3,0),IFERROR(VLOOKUP($I48,'Privacy Analyst Evaluation'!$A$46:$F$120,3,0),""))&amp;""</f>
        <v/>
      </c>
      <c r="L48" s="209" t="str">
        <f>IFERROR(VLOOKUP($I48,'Institution Evaluation'!$A$55:$F$345,4,0),IFERROR(VLOOKUP($I48,'Privacy Analyst Evaluation'!$A$46:$F$120,4,0),""))&amp;""</f>
        <v/>
      </c>
      <c r="M48" s="209" t="str">
        <f>IFERROR(VLOOKUP($I48,'Institution Evaluation'!$A$55:$F$345,6,0),IFERROR(VLOOKUP($I48,'Privacy Analyst Evaluation'!$A$46:$F$120,6,0),""))&amp;""</f>
        <v/>
      </c>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row>
    <row r="49" spans="1:338" ht="356.4" x14ac:dyDescent="0.3">
      <c r="A49" s="209">
        <f>IFERROR(IF($A48+1&gt;'(backend scoring)'!$T$335,"",$A48+1),"")</f>
        <v>25</v>
      </c>
      <c r="B49" s="209" t="str">
        <f>_xlfn.XLOOKUP($A49,'(backend scoring)'!$V$2:$V$333,'(backend scoring)'!$A$2:$A$333,"")</f>
        <v>AAAI-04</v>
      </c>
      <c r="C49" s="209" t="str">
        <f>IFERROR(VLOOKUP($B49,'Institution Evaluation'!$A$55:$F$345,2,0),IFERROR(VLOOKUP($B49,'Privacy Analyst Evaluation'!$A$46:$F$120,2,0),""))&amp;""</f>
        <v>For customers not using SSO, does the system have password complexity or length limitations and/or restrictions?*</v>
      </c>
      <c r="D49" s="209" t="str">
        <f>IFERROR(VLOOKUP($B49,'Institution Evaluation'!$A$55:$F$345,3,0),IFERROR(VLOOKUP($B49,'Privacy Analyst Evaluation'!$A$46:$F$120,3,0),""))&amp;""</f>
        <v>Yes</v>
      </c>
      <c r="E49" s="209" t="str">
        <f>IFERROR(VLOOKUP($B49,'Institution Evaluation'!$A$55:$F$345,4,0),IFERROR(VLOOKUP($B49,'Privacy Analyst Evaluation'!$A$46:$F$120,4,0),""))&amp;""</f>
        <v>Password complexity, length, and restriction settings are enforced at the institutional LMS layer (Moodle) per the institution's configured policy. Cursive does not maintain separate password complexity rules because there is no direct login to Cursive's system. Cursive's documented password policy in the Cursive Policies and Procedures (14+ characters, mixed case + number + special character, annual rotation, no readable substitutions) governs Cursive staff access to internal Cursive systems.</v>
      </c>
      <c r="F49" s="209" t="str">
        <f>IFERROR(VLOOKUP($B49,'Institution Evaluation'!$A$55:$F$345,6,0),IFERROR(VLOOKUP($B49,'Privacy Analyst Evaluation'!$A$46:$F$120,6,0),""))&amp;""</f>
        <v/>
      </c>
      <c r="G49" s="210"/>
      <c r="H49" s="209" t="str">
        <f>IFERROR(IF($H48+1&gt;'(backend scoring)'!$Q$335,"",$H48+1),"")</f>
        <v/>
      </c>
      <c r="I49" s="209" t="str">
        <f>_xlfn.XLOOKUP($H49,'(backend scoring)'!$S$2:$S$333,'(backend scoring)'!$A$2:$A$333,"")</f>
        <v/>
      </c>
      <c r="J49" s="209" t="str">
        <f>IFERROR(VLOOKUP($I49,'Institution Evaluation'!$A$55:$F$345,2,0),IFERROR(VLOOKUP($I49,'Privacy Analyst Evaluation'!$A$46:$F$120,2,0),""))</f>
        <v/>
      </c>
      <c r="K49" s="209" t="str">
        <f>IFERROR(VLOOKUP($I49,'Institution Evaluation'!$A$55:$F$345,3,0),IFERROR(VLOOKUP($I49,'Privacy Analyst Evaluation'!$A$46:$F$120,3,0),""))&amp;""</f>
        <v/>
      </c>
      <c r="L49" s="209" t="str">
        <f>IFERROR(VLOOKUP($I49,'Institution Evaluation'!$A$55:$F$345,4,0),IFERROR(VLOOKUP($I49,'Privacy Analyst Evaluation'!$A$46:$F$120,4,0),""))&amp;""</f>
        <v/>
      </c>
      <c r="M49" s="209" t="str">
        <f>IFERROR(VLOOKUP($I49,'Institution Evaluation'!$A$55:$F$345,6,0),IFERROR(VLOOKUP($I49,'Privacy Analyst Evaluation'!$A$46:$F$120,6,0),""))&amp;""</f>
        <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row>
    <row r="50" spans="1:338" ht="340.2" x14ac:dyDescent="0.3">
      <c r="A50" s="209">
        <f>IFERROR(IF($A49+1&gt;'(backend scoring)'!$T$335,"",$A49+1),"")</f>
        <v>26</v>
      </c>
      <c r="B50" s="209" t="str">
        <f>_xlfn.XLOOKUP($A50,'(backend scoring)'!$V$2:$V$333,'(backend scoring)'!$A$2:$A$333,"")</f>
        <v>AAAI-05</v>
      </c>
      <c r="C50" s="209" t="str">
        <f>IFERROR(VLOOKUP($B50,'Institution Evaluation'!$A$55:$F$345,2,0),IFERROR(VLOOKUP($B50,'Privacy Analyst Evaluation'!$A$46:$F$120,2,0),""))&amp;""</f>
        <v>For customers not using SSO, do you have documented password/passphrase reset procedures that are currently implemented in the system and/or customer support?*</v>
      </c>
      <c r="D50" s="209" t="str">
        <f>IFERROR(VLOOKUP($B50,'Institution Evaluation'!$A$55:$F$345,3,0),IFERROR(VLOOKUP($B50,'Privacy Analyst Evaluation'!$A$46:$F$120,3,0),""))&amp;""</f>
        <v>Yes</v>
      </c>
      <c r="E50" s="209" t="str">
        <f>IFERROR(VLOOKUP($B50,'Institution Evaluation'!$A$55:$F$345,4,0),IFERROR(VLOOKUP($B50,'Privacy Analyst Evaluation'!$A$46:$F$120,4,0),""))&amp;""</f>
        <v>Password reset for end users is performed at the institutional LMS layer (Moodle) per the institution's documented reset procedures. Cursive does not perform password resets for institutional users because there is no direct login to Cursive's system. For Cursive staff access to internal Cursive systems, password reset procedures are documented in the Cursive Policies and Procedures and follow MFA-protected reset flows through Bitwarden and SSO providers.</v>
      </c>
      <c r="F50" s="209" t="str">
        <f>IFERROR(VLOOKUP($B50,'Institution Evaluation'!$A$55:$F$345,6,0),IFERROR(VLOOKUP($B50,'Privacy Analyst Evaluation'!$A$46:$F$120,6,0),""))&amp;""</f>
        <v/>
      </c>
      <c r="G50" s="210"/>
      <c r="H50" s="209" t="str">
        <f>IFERROR(IF($H49+1&gt;'(backend scoring)'!$Q$335,"",$H49+1),"")</f>
        <v/>
      </c>
      <c r="I50" s="209" t="str">
        <f>_xlfn.XLOOKUP($H50,'(backend scoring)'!$S$2:$S$333,'(backend scoring)'!$A$2:$A$333,"")</f>
        <v/>
      </c>
      <c r="J50" s="209" t="str">
        <f>IFERROR(VLOOKUP($I50,'Institution Evaluation'!$A$55:$F$345,2,0),IFERROR(VLOOKUP($I50,'Privacy Analyst Evaluation'!$A$46:$F$120,2,0),""))</f>
        <v/>
      </c>
      <c r="K50" s="209" t="str">
        <f>IFERROR(VLOOKUP($I50,'Institution Evaluation'!$A$55:$F$345,3,0),IFERROR(VLOOKUP($I50,'Privacy Analyst Evaluation'!$A$46:$F$120,3,0),""))&amp;""</f>
        <v/>
      </c>
      <c r="L50" s="209" t="str">
        <f>IFERROR(VLOOKUP($I50,'Institution Evaluation'!$A$55:$F$345,4,0),IFERROR(VLOOKUP($I50,'Privacy Analyst Evaluation'!$A$46:$F$120,4,0),""))&amp;""</f>
        <v/>
      </c>
      <c r="M50" s="209" t="str">
        <f>IFERROR(VLOOKUP($I50,'Institution Evaluation'!$A$55:$F$345,6,0),IFERROR(VLOOKUP($I50,'Privacy Analyst Evaluation'!$A$46:$F$120,6,0),""))&amp;""</f>
        <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row>
    <row r="51" spans="1:338" ht="275.39999999999998" x14ac:dyDescent="0.3">
      <c r="A51" s="209">
        <f>IFERROR(IF($A50+1&gt;'(backend scoring)'!$T$335,"",$A50+1),"")</f>
        <v>27</v>
      </c>
      <c r="B51" s="209" t="str">
        <f>_xlfn.XLOOKUP($A51,'(backend scoring)'!$V$2:$V$333,'(backend scoring)'!$A$2:$A$333,"")</f>
        <v>AAAI-06</v>
      </c>
      <c r="C51" s="209" t="str">
        <f>IFERROR(VLOOKUP($B51,'Institution Evaluation'!$A$55:$F$345,2,0),IFERROR(VLOOKUP($B51,'Privacy Analyst Evaluation'!$A$46:$F$120,2,0),""))&amp;""</f>
        <v>Does your organization participate in InCommon or another eduGAIN-affiliated trust federation?*</v>
      </c>
      <c r="D51" s="209" t="str">
        <f>IFERROR(VLOOKUP($B51,'Institution Evaluation'!$A$55:$F$345,3,0),IFERROR(VLOOKUP($B51,'Privacy Analyst Evaluation'!$A$46:$F$120,3,0),""))&amp;""</f>
        <v>No</v>
      </c>
      <c r="E51" s="209" t="str">
        <f>IFERROR(VLOOKUP($B51,'Institution Evaluation'!$A$55:$F$345,4,0),IFERROR(VLOOKUP($B51,'Privacy Analyst Evaluation'!$A$46:$F$120,4,0),""))&amp;""</f>
        <v>Cursive does not currently participate in InCommon or another eduGAIN-affiliated trust federation. All authentication is delegated to LTI and/or the institution's native application (Moodle), which inherits the institution's federation membership. Direct InCommon/eduGAIN participation by Cursive will be evaluated as required by institutional engagement.</v>
      </c>
      <c r="F51" s="209" t="str">
        <f>IFERROR(VLOOKUP($B51,'Institution Evaluation'!$A$55:$F$345,6,0),IFERROR(VLOOKUP($B51,'Privacy Analyst Evaluation'!$A$46:$F$120,6,0),""))&amp;""</f>
        <v/>
      </c>
      <c r="G51" s="210"/>
      <c r="H51" s="209" t="str">
        <f>IFERROR(IF($H50+1&gt;'(backend scoring)'!$Q$335,"",$H50+1),"")</f>
        <v/>
      </c>
      <c r="I51" s="209" t="str">
        <f>_xlfn.XLOOKUP($H51,'(backend scoring)'!$S$2:$S$333,'(backend scoring)'!$A$2:$A$333,"")</f>
        <v/>
      </c>
      <c r="J51" s="209" t="str">
        <f>IFERROR(VLOOKUP($I51,'Institution Evaluation'!$A$55:$F$345,2,0),IFERROR(VLOOKUP($I51,'Privacy Analyst Evaluation'!$A$46:$F$120,2,0),""))</f>
        <v/>
      </c>
      <c r="K51" s="209" t="str">
        <f>IFERROR(VLOOKUP($I51,'Institution Evaluation'!$A$55:$F$345,3,0),IFERROR(VLOOKUP($I51,'Privacy Analyst Evaluation'!$A$46:$F$120,3,0),""))&amp;""</f>
        <v/>
      </c>
      <c r="L51" s="209" t="str">
        <f>IFERROR(VLOOKUP($I51,'Institution Evaluation'!$A$55:$F$345,4,0),IFERROR(VLOOKUP($I51,'Privacy Analyst Evaluation'!$A$46:$F$120,4,0),""))&amp;""</f>
        <v/>
      </c>
      <c r="M51" s="209" t="str">
        <f>IFERROR(VLOOKUP($I51,'Institution Evaluation'!$A$55:$F$345,6,0),IFERROR(VLOOKUP($I51,'Privacy Analyst Evaluation'!$A$46:$F$120,6,0),""))&amp;""</f>
        <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row>
    <row r="52" spans="1:338" ht="372.6" x14ac:dyDescent="0.3">
      <c r="A52" s="209">
        <f>IFERROR(IF($A51+1&gt;'(backend scoring)'!$T$335,"",$A51+1),"")</f>
        <v>28</v>
      </c>
      <c r="B52" s="209" t="str">
        <f>_xlfn.XLOOKUP($A52,'(backend scoring)'!$V$2:$V$333,'(backend scoring)'!$A$2:$A$333,"")</f>
        <v>AAAI-07</v>
      </c>
      <c r="C52" s="209" t="str">
        <f>IFERROR(VLOOKUP($B52,'Institution Evaluation'!$A$55:$F$345,2,0),IFERROR(VLOOKUP($B52,'Privacy Analyst Evaluation'!$A$46:$F$120,2,0),""))&amp;""</f>
        <v>Are there any passwords/passphrases hard-coded into your systems or solutions?*</v>
      </c>
      <c r="D52" s="209" t="str">
        <f>IFERROR(VLOOKUP($B52,'Institution Evaluation'!$A$55:$F$345,3,0),IFERROR(VLOOKUP($B52,'Privacy Analyst Evaluation'!$A$46:$F$120,3,0),""))&amp;""</f>
        <v>No</v>
      </c>
      <c r="E52" s="209" t="str">
        <f>IFERROR(VLOOKUP($B52,'Institution Evaluation'!$A$55:$F$345,4,0),IFERROR(VLOOKUP($B52,'Privacy Analyst Evaluation'!$A$46:$F$120,4,0),""))&amp;""</f>
        <v>No passwords or passphrases are hard-coded into Cursive's systems, applications, or source code. All credentials and secrets are managed through Bitwarden (for staff credentials) and AWS Secrets Manager / AWS Systems Manager Parameter Store (for application-layer credentials, API keys, and database connection strings). Source code repositories are scanned for accidental credential commits via GitHub-native secret scanning and Dependabot. No credentials appear in version-controlled code.</v>
      </c>
      <c r="F52" s="209" t="str">
        <f>IFERROR(VLOOKUP($B52,'Institution Evaluation'!$A$55:$F$345,6,0),IFERROR(VLOOKUP($B52,'Privacy Analyst Evaluation'!$A$46:$F$120,6,0),""))&amp;""</f>
        <v/>
      </c>
      <c r="G52" s="210"/>
      <c r="H52" s="209" t="str">
        <f>IFERROR(IF($H51+1&gt;'(backend scoring)'!$Q$335,"",$H51+1),"")</f>
        <v/>
      </c>
      <c r="I52" s="209" t="str">
        <f>_xlfn.XLOOKUP($H52,'(backend scoring)'!$S$2:$S$333,'(backend scoring)'!$A$2:$A$333,"")</f>
        <v/>
      </c>
      <c r="J52" s="209" t="str">
        <f>IFERROR(VLOOKUP($I52,'Institution Evaluation'!$A$55:$F$345,2,0),IFERROR(VLOOKUP($I52,'Privacy Analyst Evaluation'!$A$46:$F$120,2,0),""))</f>
        <v/>
      </c>
      <c r="K52" s="209" t="str">
        <f>IFERROR(VLOOKUP($I52,'Institution Evaluation'!$A$55:$F$345,3,0),IFERROR(VLOOKUP($I52,'Privacy Analyst Evaluation'!$A$46:$F$120,3,0),""))&amp;""</f>
        <v/>
      </c>
      <c r="L52" s="209" t="str">
        <f>IFERROR(VLOOKUP($I52,'Institution Evaluation'!$A$55:$F$345,4,0),IFERROR(VLOOKUP($I52,'Privacy Analyst Evaluation'!$A$46:$F$120,4,0),""))&amp;""</f>
        <v/>
      </c>
      <c r="M52" s="209" t="str">
        <f>IFERROR(VLOOKUP($I52,'Institution Evaluation'!$A$55:$F$345,6,0),IFERROR(VLOOKUP($I52,'Privacy Analyst Evaluation'!$A$46:$F$120,6,0),""))&amp;""</f>
        <v/>
      </c>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row>
    <row r="53" spans="1:338" ht="324" x14ac:dyDescent="0.3">
      <c r="A53" s="209">
        <f>IFERROR(IF($A52+1&gt;'(backend scoring)'!$T$335,"",$A52+1),"")</f>
        <v>29</v>
      </c>
      <c r="B53" s="209" t="str">
        <f>_xlfn.XLOOKUP($A53,'(backend scoring)'!$V$2:$V$333,'(backend scoring)'!$A$2:$A$333,"")</f>
        <v>AAAI-08</v>
      </c>
      <c r="C53" s="209" t="str">
        <f>IFERROR(VLOOKUP($B53,'Institution Evaluation'!$A$55:$F$345,2,0),IFERROR(VLOOKUP($B53,'Privacy Analyst Evaluation'!$A$46:$F$120,2,0),""))&amp;""</f>
        <v>Are you storing any passwords in plaintext?*</v>
      </c>
      <c r="D53" s="209" t="str">
        <f>IFERROR(VLOOKUP($B53,'Institution Evaluation'!$A$55:$F$345,3,0),IFERROR(VLOOKUP($B53,'Privacy Analyst Evaluation'!$A$46:$F$120,3,0),""))&amp;""</f>
        <v>No</v>
      </c>
      <c r="E53" s="209" t="str">
        <f>IFERROR(VLOOKUP($B53,'Institution Evaluation'!$A$55:$F$345,4,0),IFERROR(VLOOKUP($B53,'Privacy Analyst Evaluation'!$A$46:$F$120,4,0),""))&amp;""</f>
        <v>Cursive does not store passwords in plaintext. As described in AAAI-01 / AAAI-02, end-user authentication is delegated to LTI and/or the institutional Moodle layer — Cursive does not store end-user passwords at all. For Cursive staff access to internal systems, credentials are managed through Bitwarden (zero-knowledge encrypted credential vault) and SSO providers; no plaintext password storage occurs at any layer Cursive controls.</v>
      </c>
      <c r="F53" s="209" t="str">
        <f>IFERROR(VLOOKUP($B53,'Institution Evaluation'!$A$55:$F$345,6,0),IFERROR(VLOOKUP($B53,'Privacy Analyst Evaluation'!$A$46:$F$120,6,0),""))&amp;""</f>
        <v/>
      </c>
      <c r="G53" s="210"/>
      <c r="H53" s="209" t="str">
        <f>IFERROR(IF($H52+1&gt;'(backend scoring)'!$Q$335,"",$H52+1),"")</f>
        <v/>
      </c>
      <c r="I53" s="209" t="str">
        <f>_xlfn.XLOOKUP($H53,'(backend scoring)'!$S$2:$S$333,'(backend scoring)'!$A$2:$A$333,"")</f>
        <v/>
      </c>
      <c r="J53" s="209" t="str">
        <f>IFERROR(VLOOKUP($I53,'Institution Evaluation'!$A$55:$F$345,2,0),IFERROR(VLOOKUP($I53,'Privacy Analyst Evaluation'!$A$46:$F$120,2,0),""))</f>
        <v/>
      </c>
      <c r="K53" s="209" t="str">
        <f>IFERROR(VLOOKUP($I53,'Institution Evaluation'!$A$55:$F$345,3,0),IFERROR(VLOOKUP($I53,'Privacy Analyst Evaluation'!$A$46:$F$120,3,0),""))&amp;""</f>
        <v/>
      </c>
      <c r="L53" s="209" t="str">
        <f>IFERROR(VLOOKUP($I53,'Institution Evaluation'!$A$55:$F$345,4,0),IFERROR(VLOOKUP($I53,'Privacy Analyst Evaluation'!$A$46:$F$120,4,0),""))&amp;""</f>
        <v/>
      </c>
      <c r="M53" s="209" t="str">
        <f>IFERROR(VLOOKUP($I53,'Institution Evaluation'!$A$55:$F$345,6,0),IFERROR(VLOOKUP($I53,'Privacy Analyst Evaluation'!$A$46:$F$120,6,0),""))&amp;""</f>
        <v/>
      </c>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row>
    <row r="54" spans="1:338" ht="409.6" x14ac:dyDescent="0.3">
      <c r="A54" s="209">
        <f>IFERROR(IF($A53+1&gt;'(backend scoring)'!$T$335,"",$A53+1),"")</f>
        <v>30</v>
      </c>
      <c r="B54" s="209" t="str">
        <f>_xlfn.XLOOKUP($A54,'(backend scoring)'!$V$2:$V$333,'(backend scoring)'!$A$2:$A$333,"")</f>
        <v>AAAI-09</v>
      </c>
      <c r="C54" s="209" t="str">
        <f>IFERROR(VLOOKUP($B54,'Institution Evaluation'!$A$55:$F$345,2,0),IFERROR(VLOOKUP($B54,'Privacy Analyst Evaluation'!$A$46:$F$120,2,0),""))&amp;""</f>
        <v>Are audit logs available that include AT LEAST all of the following: login, logout, actions performed, and source IP address?*</v>
      </c>
      <c r="D54" s="209" t="str">
        <f>IFERROR(VLOOKUP($B54,'Institution Evaluation'!$A$55:$F$345,3,0),IFERROR(VLOOKUP($B54,'Privacy Analyst Evaluation'!$A$46:$F$120,3,0),""))&amp;""</f>
        <v>Yes</v>
      </c>
      <c r="E54" s="209" t="str">
        <f>IFERROR(VLOOKUP($B54,'Institution Evaluation'!$A$55:$F$345,4,0),IFERROR(VLOOKUP($B54,'Privacy Analyst Evaluation'!$A$46:$F$120,4,0),""))&amp;""</f>
        <v>Partial - Cursive maintains audit logs at multiple layers, though the specific combination of (login + logout + actions performed + source IP) varies by layer because end-user authentication is delegated to the LMS rather than performed at the Cursive layer:
(1) End-user login/logout events are logged at the institutional LMS layer (Moodle) per the institution's audit configuration — Cursive does not see end-user login events directly because there is no direct login to Cursive.
(2) API request logs at the Cursive layer capture: timestamp, LMS-issued UUID (user identifier — not name or email), request endpoint, action performed (inference request, data submission, etc.), request payload metadata, response/outcome, and source IP from AWS load balancer access logs.
(3) AWS CloudTrail logs all administrative actions at the infrastructure layer (Cursive staff and subprocessor administrative access), including identity, timestamp, action, source IP, and result.
(4) AWS GuardDuty (under deployment) will provide additional behavior-anomaly logging.
Logs are retained per the audit retention requirements in the Cursive Policies and Procedures (3+ years), are immutable, and are made available to institutional customers on contractual request.</v>
      </c>
      <c r="F54" s="209" t="str">
        <f>IFERROR(VLOOKUP($B54,'Institution Evaluation'!$A$55:$F$345,6,0),IFERROR(VLOOKUP($B54,'Privacy Analyst Evaluation'!$A$46:$F$120,6,0),""))&amp;""</f>
        <v/>
      </c>
      <c r="G54" s="210"/>
      <c r="H54" s="209" t="str">
        <f>IFERROR(IF($H53+1&gt;'(backend scoring)'!$Q$335,"",$H53+1),"")</f>
        <v/>
      </c>
      <c r="I54" s="209" t="str">
        <f>_xlfn.XLOOKUP($H54,'(backend scoring)'!$S$2:$S$333,'(backend scoring)'!$A$2:$A$333,"")</f>
        <v/>
      </c>
      <c r="J54" s="209" t="str">
        <f>IFERROR(VLOOKUP($I54,'Institution Evaluation'!$A$55:$F$345,2,0),IFERROR(VLOOKUP($I54,'Privacy Analyst Evaluation'!$A$46:$F$120,2,0),""))</f>
        <v/>
      </c>
      <c r="K54" s="209" t="str">
        <f>IFERROR(VLOOKUP($I54,'Institution Evaluation'!$A$55:$F$345,3,0),IFERROR(VLOOKUP($I54,'Privacy Analyst Evaluation'!$A$46:$F$120,3,0),""))&amp;""</f>
        <v/>
      </c>
      <c r="L54" s="209" t="str">
        <f>IFERROR(VLOOKUP($I54,'Institution Evaluation'!$A$55:$F$345,4,0),IFERROR(VLOOKUP($I54,'Privacy Analyst Evaluation'!$A$46:$F$120,4,0),""))&amp;""</f>
        <v/>
      </c>
      <c r="M54" s="209" t="str">
        <f>IFERROR(VLOOKUP($I54,'Institution Evaluation'!$A$55:$F$345,6,0),IFERROR(VLOOKUP($I54,'Privacy Analyst Evaluation'!$A$46:$F$120,6,0),""))&amp;""</f>
        <v/>
      </c>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row>
    <row r="55" spans="1:338" ht="409.6" x14ac:dyDescent="0.3">
      <c r="A55" s="209">
        <f>IFERROR(IF($A54+1&gt;'(backend scoring)'!$T$335,"",$A54+1),"")</f>
        <v>31</v>
      </c>
      <c r="B55" s="209" t="str">
        <f>_xlfn.XLOOKUP($A55,'(backend scoring)'!$V$2:$V$333,'(backend scoring)'!$A$2:$A$333,"")</f>
        <v>AAAI-11</v>
      </c>
      <c r="C55" s="209" t="str">
        <f>IFERROR(VLOOKUP($B55,'Institution Evaluation'!$A$55:$F$345,2,0),IFERROR(VLOOKUP($B55,'Privacy Analyst Evaluation'!$A$46:$F$120,2,0),""))&amp;""</f>
        <v>Can you provide the institution documentation regarding the retention period for those logs, how logs are protected, and whether they are accessible to the customer (and if so, how)?*</v>
      </c>
      <c r="D55" s="209" t="str">
        <f>IFERROR(VLOOKUP($B55,'Institution Evaluation'!$A$55:$F$345,3,0),IFERROR(VLOOKUP($B55,'Privacy Analyst Evaluation'!$A$46:$F$120,3,0),""))&amp;""</f>
        <v>Yes</v>
      </c>
      <c r="E55" s="209" t="str">
        <f>IFERROR(VLOOKUP($B55,'Institution Evaluation'!$A$55:$F$345,4,0),IFERROR(VLOOKUP($B55,'Privacy Analyst Evaluation'!$A$46:$F$120,4,0),""))&amp;""</f>
        <v>Audit log retention and protection are documented in the Cursive Policies and Procedures:Retention period: Audit logs (AWS CloudTrail, application API logs, ALB access logs) are retained for a minimum of 3 years in accordance with the Audit &amp; Accountability policy. Logs are stored in AWS S3 with append-only bucket policies and lifecycle rules.Log protection: CloudTrail logs are immutable by design (append-only). S3 bucket policies prevent log deletion or modification. KMS encryption is applied at rest; TLS 1.2+ in transit. Access to log storage is gated through AWS IAM with least-privilege scoping; only the Founder/CEO and the AWS engineering subprocessor have access to log infrastructure.Customer accessibility: Audit logs are available to institutional customers under contractual request. Standard practice is to provide log excerpts relevant to the institution's tenant scope (filtered by the institution's UUID namespace and request context), delivered through secure channel. End-user authentication logs are accessible through the institution's own LMS (Moodle) since authentication occurs at the LMS layer.Documentation references: Cursive Policies and Procedures (Audit &amp; Accountability section) — available on request.</v>
      </c>
      <c r="F55" s="209" t="str">
        <f>IFERROR(VLOOKUP($B55,'Institution Evaluation'!$A$55:$F$345,6,0),IFERROR(VLOOKUP($B55,'Privacy Analyst Evaluation'!$A$46:$F$120,6,0),""))&amp;""</f>
        <v/>
      </c>
      <c r="G55" s="210"/>
      <c r="H55" s="209" t="str">
        <f>IFERROR(IF($H54+1&gt;'(backend scoring)'!$Q$335,"",$H54+1),"")</f>
        <v/>
      </c>
      <c r="I55" s="209" t="str">
        <f>_xlfn.XLOOKUP($H55,'(backend scoring)'!$S$2:$S$333,'(backend scoring)'!$A$2:$A$333,"")</f>
        <v/>
      </c>
      <c r="J55" s="209" t="str">
        <f>IFERROR(VLOOKUP($I55,'Institution Evaluation'!$A$55:$F$345,2,0),IFERROR(VLOOKUP($I55,'Privacy Analyst Evaluation'!$A$46:$F$120,2,0),""))</f>
        <v/>
      </c>
      <c r="K55" s="209" t="str">
        <f>IFERROR(VLOOKUP($I55,'Institution Evaluation'!$A$55:$F$345,3,0),IFERROR(VLOOKUP($I55,'Privacy Analyst Evaluation'!$A$46:$F$120,3,0),""))&amp;""</f>
        <v/>
      </c>
      <c r="L55" s="209" t="str">
        <f>IFERROR(VLOOKUP($I55,'Institution Evaluation'!$A$55:$F$345,4,0),IFERROR(VLOOKUP($I55,'Privacy Analyst Evaluation'!$A$46:$F$120,4,0),""))&amp;""</f>
        <v/>
      </c>
      <c r="M55" s="209" t="str">
        <f>IFERROR(VLOOKUP($I55,'Institution Evaluation'!$A$55:$F$345,6,0),IFERROR(VLOOKUP($I55,'Privacy Analyst Evaluation'!$A$46:$F$120,6,0),""))&amp;""</f>
        <v/>
      </c>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row>
    <row r="56" spans="1:338" ht="409.6" x14ac:dyDescent="0.3">
      <c r="A56" s="209">
        <f>IFERROR(IF($A55+1&gt;'(backend scoring)'!$T$335,"",$A55+1),"")</f>
        <v>32</v>
      </c>
      <c r="B56" s="209" t="str">
        <f>_xlfn.XLOOKUP($A56,'(backend scoring)'!$V$2:$V$333,'(backend scoring)'!$A$2:$A$333,"")</f>
        <v>CHNG-01</v>
      </c>
      <c r="C56" s="209" t="str">
        <f>IFERROR(VLOOKUP($B56,'Institution Evaluation'!$A$55:$F$345,2,0),IFERROR(VLOOKUP($B56,'Privacy Analyst Evaluation'!$A$46:$F$120,2,0),""))&amp;""</f>
        <v>Will the institution be notified of major changes to your environment that could impact the institution's security posture?*</v>
      </c>
      <c r="D56" s="209" t="str">
        <f>IFERROR(VLOOKUP($B56,'Institution Evaluation'!$A$55:$F$345,3,0),IFERROR(VLOOKUP($B56,'Privacy Analyst Evaluation'!$A$46:$F$120,3,0),""))&amp;""</f>
        <v>Yes</v>
      </c>
      <c r="E56" s="209" t="str">
        <f>IFERROR(VLOOKUP($B56,'Institution Evaluation'!$A$55:$F$345,4,0),IFERROR(VLOOKUP($B56,'Privacy Analyst Evaluation'!$A$46:$F$120,4,0),""))&amp;""</f>
        <v>Institutional customers are notified of major changes to Cursive's environment that could impact security posture per the Cursive Policies and Procedures (Security Assessment &amp; Authorization). Notification is triggered by the Security Impact Analysis step in the change management process: when a planned change is determined to have material security impact for institutional customers, affected institutions are notified in advance with sufficient lead time to evaluate the change. Communication is delivered through the institutional point of contact and through release notes published as part of the deployment process per the Cursive SDLC.</v>
      </c>
      <c r="F56" s="209" t="str">
        <f>IFERROR(VLOOKUP($B56,'Institution Evaluation'!$A$55:$F$345,6,0),IFERROR(VLOOKUP($B56,'Privacy Analyst Evaluation'!$A$46:$F$120,6,0),""))&amp;""</f>
        <v/>
      </c>
      <c r="G56" s="210"/>
      <c r="H56" s="209" t="str">
        <f>IFERROR(IF($H55+1&gt;'(backend scoring)'!$Q$335,"",$H55+1),"")</f>
        <v/>
      </c>
      <c r="I56" s="209" t="str">
        <f>_xlfn.XLOOKUP($H56,'(backend scoring)'!$S$2:$S$333,'(backend scoring)'!$A$2:$A$333,"")</f>
        <v/>
      </c>
      <c r="J56" s="209" t="str">
        <f>IFERROR(VLOOKUP($I56,'Institution Evaluation'!$A$55:$F$345,2,0),IFERROR(VLOOKUP($I56,'Privacy Analyst Evaluation'!$A$46:$F$120,2,0),""))</f>
        <v/>
      </c>
      <c r="K56" s="209" t="str">
        <f>IFERROR(VLOOKUP($I56,'Institution Evaluation'!$A$55:$F$345,3,0),IFERROR(VLOOKUP($I56,'Privacy Analyst Evaluation'!$A$46:$F$120,3,0),""))&amp;""</f>
        <v/>
      </c>
      <c r="L56" s="209" t="str">
        <f>IFERROR(VLOOKUP($I56,'Institution Evaluation'!$A$55:$F$345,4,0),IFERROR(VLOOKUP($I56,'Privacy Analyst Evaluation'!$A$46:$F$120,4,0),""))&amp;""</f>
        <v/>
      </c>
      <c r="M56" s="209" t="str">
        <f>IFERROR(VLOOKUP($I56,'Institution Evaluation'!$A$55:$F$345,6,0),IFERROR(VLOOKUP($I56,'Privacy Analyst Evaluation'!$A$46:$F$120,6,0),""))&amp;""</f>
        <v/>
      </c>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row>
    <row r="57" spans="1:338" ht="409.6" x14ac:dyDescent="0.3">
      <c r="A57" s="209">
        <f>IFERROR(IF($A56+1&gt;'(backend scoring)'!$T$335,"",$A56+1),"")</f>
        <v>33</v>
      </c>
      <c r="B57" s="209" t="str">
        <f>_xlfn.XLOOKUP($A57,'(backend scoring)'!$V$2:$V$333,'(backend scoring)'!$A$2:$A$333,"")</f>
        <v>CHNG-02</v>
      </c>
      <c r="C57" s="209" t="str">
        <f>IFERROR(VLOOKUP($B57,'Institution Evaluation'!$A$55:$F$345,2,0),IFERROR(VLOOKUP($B57,'Privacy Analyst Evaluation'!$A$46:$F$120,2,0),""))&amp;""</f>
        <v>Does the system support client customizations from one release to another?*</v>
      </c>
      <c r="D57" s="209" t="str">
        <f>IFERROR(VLOOKUP($B57,'Institution Evaluation'!$A$55:$F$345,3,0),IFERROR(VLOOKUP($B57,'Privacy Analyst Evaluation'!$A$46:$F$120,3,0),""))&amp;""</f>
        <v>Yes</v>
      </c>
      <c r="E57" s="209" t="str">
        <f>IFERROR(VLOOKUP($B57,'Institution Evaluation'!$A$55:$F$345,4,0),IFERROR(VLOOKUP($B57,'Privacy Analyst Evaluation'!$A$46:$F$120,4,0),""))&amp;""</f>
        <v>Client customizations are supported across releases. Cursive's API model is designed for backward compatibility — a single best-practice API serves all supported versions of the Cursive Moodle plugin and browser extension simultaneously, so institutional customizations and integrations remain functional across release cycles. Institution-specific configuration (LMS integration parameters, branding where applicable, contractual data handling settings) persists through plugin and extension updates without manual reconfiguration. Where client customizations require new API surface area, Cursive maintains backward compatibility for at least one full release cycle to support institutional migration.</v>
      </c>
      <c r="F57" s="209" t="str">
        <f>IFERROR(VLOOKUP($B57,'Institution Evaluation'!$A$55:$F$345,6,0),IFERROR(VLOOKUP($B57,'Privacy Analyst Evaluation'!$A$46:$F$120,6,0),""))&amp;""</f>
        <v/>
      </c>
      <c r="G57" s="210"/>
      <c r="H57" s="209" t="str">
        <f>IFERROR(IF($H56+1&gt;'(backend scoring)'!$Q$335,"",$H56+1),"")</f>
        <v/>
      </c>
      <c r="I57" s="209" t="str">
        <f>_xlfn.XLOOKUP($H57,'(backend scoring)'!$S$2:$S$333,'(backend scoring)'!$A$2:$A$333,"")</f>
        <v/>
      </c>
      <c r="J57" s="209" t="str">
        <f>IFERROR(VLOOKUP($I57,'Institution Evaluation'!$A$55:$F$345,2,0),IFERROR(VLOOKUP($I57,'Privacy Analyst Evaluation'!$A$46:$F$120,2,0),""))</f>
        <v/>
      </c>
      <c r="K57" s="209" t="str">
        <f>IFERROR(VLOOKUP($I57,'Institution Evaluation'!$A$55:$F$345,3,0),IFERROR(VLOOKUP($I57,'Privacy Analyst Evaluation'!$A$46:$F$120,3,0),""))&amp;""</f>
        <v/>
      </c>
      <c r="L57" s="209" t="str">
        <f>IFERROR(VLOOKUP($I57,'Institution Evaluation'!$A$55:$F$345,4,0),IFERROR(VLOOKUP($I57,'Privacy Analyst Evaluation'!$A$46:$F$120,4,0),""))&amp;""</f>
        <v/>
      </c>
      <c r="M57" s="209" t="str">
        <f>IFERROR(VLOOKUP($I57,'Institution Evaluation'!$A$55:$F$345,6,0),IFERROR(VLOOKUP($I57,'Privacy Analyst Evaluation'!$A$46:$F$120,6,0),""))&amp;""</f>
        <v/>
      </c>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row>
    <row r="58" spans="1:338" ht="409.6" x14ac:dyDescent="0.3">
      <c r="A58" s="209">
        <f>IFERROR(IF($A57+1&gt;'(backend scoring)'!$T$335,"",$A57+1),"")</f>
        <v>34</v>
      </c>
      <c r="B58" s="209" t="str">
        <f>_xlfn.XLOOKUP($A58,'(backend scoring)'!$V$2:$V$333,'(backend scoring)'!$A$2:$A$333,"")</f>
        <v>CHNG-03</v>
      </c>
      <c r="C58" s="209" t="str">
        <f>IFERROR(VLOOKUP($B58,'Institution Evaluation'!$A$55:$F$345,2,0),IFERROR(VLOOKUP($B58,'Privacy Analyst Evaluation'!$A$46:$F$120,2,0),""))&amp;""</f>
        <v>Do you have an implemented system configuration management process (e.g., secure "gold" images, etc.)?*</v>
      </c>
      <c r="D58" s="209" t="str">
        <f>IFERROR(VLOOKUP($B58,'Institution Evaluation'!$A$55:$F$345,3,0),IFERROR(VLOOKUP($B58,'Privacy Analyst Evaluation'!$A$46:$F$120,3,0),""))&amp;""</f>
        <v>Yes</v>
      </c>
      <c r="E58" s="209" t="str">
        <f>IFERROR(VLOOKUP($B58,'Institution Evaluation'!$A$55:$F$345,4,0),IFERROR(VLOOKUP($B58,'Privacy Analyst Evaluation'!$A$46:$F$120,4,0),""))&amp;""</f>
        <v>Cursive operates a system configuration management process per the Cursive Policies and Procedures. Configuration management leverages AWS-native tooling: AWS CloudFormation (and Terraform under the EKS rebuild) for Infrastructure as Code, providing reproducible "gold" infrastructure provisioning; AWS-provided pre-hardened components and AMIs (per DCTR-15); container images managed through standardized build pipelines with image scanning. AWS Config and AWS Systems Manager Parameter Store are being onboarded as part of the EKS rebuild to provide configuration drift detection and centralized configuration management. The Cursive Information System &amp; Baseline Configuration documentation captures the current configuration baseline.</v>
      </c>
      <c r="F58" s="209" t="str">
        <f>IFERROR(VLOOKUP($B58,'Institution Evaluation'!$A$55:$F$345,6,0),IFERROR(VLOOKUP($B58,'Privacy Analyst Evaluation'!$A$46:$F$120,6,0),""))&amp;""</f>
        <v/>
      </c>
      <c r="G58" s="210"/>
      <c r="H58" s="209" t="str">
        <f>IFERROR(IF($H57+1&gt;'(backend scoring)'!$Q$335,"",$H57+1),"")</f>
        <v/>
      </c>
      <c r="I58" s="209" t="str">
        <f>_xlfn.XLOOKUP($H58,'(backend scoring)'!$S$2:$S$333,'(backend scoring)'!$A$2:$A$333,"")</f>
        <v/>
      </c>
      <c r="J58" s="209" t="str">
        <f>IFERROR(VLOOKUP($I58,'Institution Evaluation'!$A$55:$F$345,2,0),IFERROR(VLOOKUP($I58,'Privacy Analyst Evaluation'!$A$46:$F$120,2,0),""))</f>
        <v/>
      </c>
      <c r="K58" s="209" t="str">
        <f>IFERROR(VLOOKUP($I58,'Institution Evaluation'!$A$55:$F$345,3,0),IFERROR(VLOOKUP($I58,'Privacy Analyst Evaluation'!$A$46:$F$120,3,0),""))&amp;""</f>
        <v/>
      </c>
      <c r="L58" s="209" t="str">
        <f>IFERROR(VLOOKUP($I58,'Institution Evaluation'!$A$55:$F$345,4,0),IFERROR(VLOOKUP($I58,'Privacy Analyst Evaluation'!$A$46:$F$120,4,0),""))&amp;""</f>
        <v/>
      </c>
      <c r="M58" s="209" t="str">
        <f>IFERROR(VLOOKUP($I58,'Institution Evaluation'!$A$55:$F$345,6,0),IFERROR(VLOOKUP($I58,'Privacy Analyst Evaluation'!$A$46:$F$120,6,0),""))&amp;""</f>
        <v/>
      </c>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row>
    <row r="59" spans="1:338" ht="409.6" x14ac:dyDescent="0.3">
      <c r="A59" s="209">
        <f>IFERROR(IF($A58+1&gt;'(backend scoring)'!$T$335,"",$A58+1),"")</f>
        <v>35</v>
      </c>
      <c r="B59" s="209" t="str">
        <f>_xlfn.XLOOKUP($A59,'(backend scoring)'!$V$2:$V$333,'(backend scoring)'!$A$2:$A$333,"")</f>
        <v>DATA-01</v>
      </c>
      <c r="C59" s="209" t="str">
        <f>IFERROR(VLOOKUP($B59,'Institution Evaluation'!$A$55:$F$345,2,0),IFERROR(VLOOKUP($B59,'Privacy Analyst Evaluation'!$A$46:$F$120,2,0),""))&amp;""</f>
        <v>Will the institution's data be stored on any devices (database servers, file servers, SAN, NAS, etc.) configured with non-RFC 1918/4193 (i.e., publicly routable) IP addresses?*</v>
      </c>
      <c r="D59" s="209" t="str">
        <f>IFERROR(VLOOKUP($B59,'Institution Evaluation'!$A$55:$F$345,3,0),IFERROR(VLOOKUP($B59,'Privacy Analyst Evaluation'!$A$46:$F$120,3,0),""))&amp;""</f>
        <v>No</v>
      </c>
      <c r="E59" s="209" t="str">
        <f>IFERROR(VLOOKUP($B59,'Institution Evaluation'!$A$55:$F$345,4,0),IFERROR(VLOOKUP($B59,'Privacy Analyst Evaluation'!$A$46:$F$120,4,0),""))&amp;""</f>
        <v>Institutional data is not stored on devices configured with publicly routable IP addresses. All Cursive AWS resources storing institutional data (S3 buckets, RDS instances, EKS pods) reside within private subnets in a Cursive-managed VPC using RFC 1918 private address space. Public access is mediated through AWS Application Load Balancers, AWS API Gateway, and AWS CloudFront with strict security group and IAM policy enforcement. S3 buckets containing institutional data have public access blocked at the account and bucket level. No database server, file server, or storage device containing institutional data is directly addressable from the public internet.</v>
      </c>
      <c r="F59" s="209" t="str">
        <f>IFERROR(VLOOKUP($B59,'Institution Evaluation'!$A$55:$F$345,6,0),IFERROR(VLOOKUP($B59,'Privacy Analyst Evaluation'!$A$46:$F$120,6,0),""))&amp;""</f>
        <v/>
      </c>
      <c r="G59" s="210"/>
      <c r="H59" s="209" t="str">
        <f>IFERROR(IF($H58+1&gt;'(backend scoring)'!$Q$335,"",$H58+1),"")</f>
        <v/>
      </c>
      <c r="I59" s="209" t="str">
        <f>_xlfn.XLOOKUP($H59,'(backend scoring)'!$S$2:$S$333,'(backend scoring)'!$A$2:$A$333,"")</f>
        <v/>
      </c>
      <c r="J59" s="209" t="str">
        <f>IFERROR(VLOOKUP($I59,'Institution Evaluation'!$A$55:$F$345,2,0),IFERROR(VLOOKUP($I59,'Privacy Analyst Evaluation'!$A$46:$F$120,2,0),""))</f>
        <v/>
      </c>
      <c r="K59" s="209" t="str">
        <f>IFERROR(VLOOKUP($I59,'Institution Evaluation'!$A$55:$F$345,3,0),IFERROR(VLOOKUP($I59,'Privacy Analyst Evaluation'!$A$46:$F$120,3,0),""))&amp;""</f>
        <v/>
      </c>
      <c r="L59" s="209" t="str">
        <f>IFERROR(VLOOKUP($I59,'Institution Evaluation'!$A$55:$F$345,4,0),IFERROR(VLOOKUP($I59,'Privacy Analyst Evaluation'!$A$46:$F$120,4,0),""))&amp;""</f>
        <v/>
      </c>
      <c r="M59" s="209" t="str">
        <f>IFERROR(VLOOKUP($I59,'Institution Evaluation'!$A$55:$F$345,6,0),IFERROR(VLOOKUP($I59,'Privacy Analyst Evaluation'!$A$46:$F$120,6,0),""))&amp;""</f>
        <v/>
      </c>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row>
    <row r="60" spans="1:338" ht="388.8" x14ac:dyDescent="0.3">
      <c r="A60" s="209">
        <f>IFERROR(IF($A59+1&gt;'(backend scoring)'!$T$335,"",$A59+1),"")</f>
        <v>36</v>
      </c>
      <c r="B60" s="209" t="str">
        <f>_xlfn.XLOOKUP($A60,'(backend scoring)'!$V$2:$V$333,'(backend scoring)'!$A$2:$A$333,"")</f>
        <v>DATA-02</v>
      </c>
      <c r="C60" s="209" t="str">
        <f>IFERROR(VLOOKUP($B60,'Institution Evaluation'!$A$55:$F$345,2,0),IFERROR(VLOOKUP($B60,'Privacy Analyst Evaluation'!$A$46:$F$120,2,0),""))&amp;""</f>
        <v>Is the transport of sensitive data encrypted using security protocols/algorithms (e.g., system-to-client)?*</v>
      </c>
      <c r="D60" s="209" t="str">
        <f>IFERROR(VLOOKUP($B60,'Institution Evaluation'!$A$55:$F$345,3,0),IFERROR(VLOOKUP($B60,'Privacy Analyst Evaluation'!$A$46:$F$120,3,0),""))&amp;""</f>
        <v>Yes</v>
      </c>
      <c r="E60" s="209" t="str">
        <f>IFERROR(VLOOKUP($B60,'Institution Evaluation'!$A$55:$F$345,4,0),IFERROR(VLOOKUP($B60,'Privacy Analyst Evaluation'!$A$46:$F$120,4,0),""))&amp;""</f>
        <v>All transport of sensitive data is encrypted using TLS 1.2 or higher with industry-standard cipher suites. This applies to: (1) client-to-server traffic (browser extension, Moodle plugin, LTI tool to Cursive API); (2) server-to-server traffic within AWS (between EKS, RDS, S3, KMS, and other AWS services); (3) administrative access to AWS Console, GitHub, and other internal tools. TLS configuration follows AWS recommended baselines and is regularly reviewed for cipher suite hardening. Plaintext transport of institutional data is not permitted at any layer.</v>
      </c>
      <c r="F60" s="209" t="str">
        <f>IFERROR(VLOOKUP($B60,'Institution Evaluation'!$A$55:$F$345,6,0),IFERROR(VLOOKUP($B60,'Privacy Analyst Evaluation'!$A$46:$F$120,6,0),""))&amp;""</f>
        <v/>
      </c>
      <c r="G60" s="210"/>
      <c r="H60" s="209" t="str">
        <f>IFERROR(IF($H59+1&gt;'(backend scoring)'!$Q$335,"",$H59+1),"")</f>
        <v/>
      </c>
      <c r="I60" s="209" t="str">
        <f>_xlfn.XLOOKUP($H60,'(backend scoring)'!$S$2:$S$333,'(backend scoring)'!$A$2:$A$333,"")</f>
        <v/>
      </c>
      <c r="J60" s="209" t="str">
        <f>IFERROR(VLOOKUP($I60,'Institution Evaluation'!$A$55:$F$345,2,0),IFERROR(VLOOKUP($I60,'Privacy Analyst Evaluation'!$A$46:$F$120,2,0),""))</f>
        <v/>
      </c>
      <c r="K60" s="209" t="str">
        <f>IFERROR(VLOOKUP($I60,'Institution Evaluation'!$A$55:$F$345,3,0),IFERROR(VLOOKUP($I60,'Privacy Analyst Evaluation'!$A$46:$F$120,3,0),""))&amp;""</f>
        <v/>
      </c>
      <c r="L60" s="209" t="str">
        <f>IFERROR(VLOOKUP($I60,'Institution Evaluation'!$A$55:$F$345,4,0),IFERROR(VLOOKUP($I60,'Privacy Analyst Evaluation'!$A$46:$F$120,4,0),""))&amp;""</f>
        <v/>
      </c>
      <c r="M60" s="209" t="str">
        <f>IFERROR(VLOOKUP($I60,'Institution Evaluation'!$A$55:$F$345,6,0),IFERROR(VLOOKUP($I60,'Privacy Analyst Evaluation'!$A$46:$F$120,6,0),""))&amp;""</f>
        <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row>
    <row r="61" spans="1:338" ht="356.4" x14ac:dyDescent="0.3">
      <c r="A61" s="209">
        <f>IFERROR(IF($A60+1&gt;'(backend scoring)'!$T$335,"",$A60+1),"")</f>
        <v>37</v>
      </c>
      <c r="B61" s="209" t="str">
        <f>_xlfn.XLOOKUP($A61,'(backend scoring)'!$V$2:$V$333,'(backend scoring)'!$A$2:$A$333,"")</f>
        <v>DATA-03</v>
      </c>
      <c r="C61" s="209" t="str">
        <f>IFERROR(VLOOKUP($B61,'Institution Evaluation'!$A$55:$F$345,2,0),IFERROR(VLOOKUP($B61,'Privacy Analyst Evaluation'!$A$46:$F$120,2,0),""))&amp;""</f>
        <v>Is the storage of sensitive data encrypted using security protocols/algorithms (e.g., disk encryption, at-rest, files, and within a running database)?*</v>
      </c>
      <c r="D61" s="209" t="str">
        <f>IFERROR(VLOOKUP($B61,'Institution Evaluation'!$A$55:$F$345,3,0),IFERROR(VLOOKUP($B61,'Privacy Analyst Evaluation'!$A$46:$F$120,3,0),""))&amp;""</f>
        <v>Yes</v>
      </c>
      <c r="E61" s="209" t="str">
        <f>IFERROR(VLOOKUP($B61,'Institution Evaluation'!$A$55:$F$345,4,0),IFERROR(VLOOKUP($B61,'Privacy Analyst Evaluation'!$A$46:$F$120,4,0),""))&amp;""</f>
        <v>All storage of sensitive data is encrypted at rest using AES-256 encryption (CNSA-approved). AWS-managed services apply encryption at multiple layers: S3 server-side encryption with AWS KMS-managed keys, RDS encryption at rest with KMS, EBS volume encryption, and KMS encryption for EKS secrets. Encryption keys are managed through AWS Key Management Service (AWS KMS) with HSM-backed key storage. Encryption applies to running databases, file storage, archival storage, and backup copies.</v>
      </c>
      <c r="F61" s="209" t="str">
        <f>IFERROR(VLOOKUP($B61,'Institution Evaluation'!$A$55:$F$345,6,0),IFERROR(VLOOKUP($B61,'Privacy Analyst Evaluation'!$A$46:$F$120,6,0),""))&amp;""</f>
        <v/>
      </c>
      <c r="G61" s="210"/>
      <c r="H61" s="209" t="str">
        <f>IFERROR(IF($H60+1&gt;'(backend scoring)'!$Q$335,"",$H60+1),"")</f>
        <v/>
      </c>
      <c r="I61" s="209" t="str">
        <f>_xlfn.XLOOKUP($H61,'(backend scoring)'!$S$2:$S$333,'(backend scoring)'!$A$2:$A$333,"")</f>
        <v/>
      </c>
      <c r="J61" s="209" t="str">
        <f>IFERROR(VLOOKUP($I61,'Institution Evaluation'!$A$55:$F$345,2,0),IFERROR(VLOOKUP($I61,'Privacy Analyst Evaluation'!$A$46:$F$120,2,0),""))</f>
        <v/>
      </c>
      <c r="K61" s="209" t="str">
        <f>IFERROR(VLOOKUP($I61,'Institution Evaluation'!$A$55:$F$345,3,0),IFERROR(VLOOKUP($I61,'Privacy Analyst Evaluation'!$A$46:$F$120,3,0),""))&amp;""</f>
        <v/>
      </c>
      <c r="L61" s="209" t="str">
        <f>IFERROR(VLOOKUP($I61,'Institution Evaluation'!$A$55:$F$345,4,0),IFERROR(VLOOKUP($I61,'Privacy Analyst Evaluation'!$A$46:$F$120,4,0),""))&amp;""</f>
        <v/>
      </c>
      <c r="M61" s="209" t="str">
        <f>IFERROR(VLOOKUP($I61,'Institution Evaluation'!$A$55:$F$345,6,0),IFERROR(VLOOKUP($I61,'Privacy Analyst Evaluation'!$A$46:$F$120,6,0),""))&amp;""</f>
        <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row>
    <row r="62" spans="1:338" ht="409.6" x14ac:dyDescent="0.3">
      <c r="A62" s="209">
        <f>IFERROR(IF($A61+1&gt;'(backend scoring)'!$T$335,"",$A61+1),"")</f>
        <v>38</v>
      </c>
      <c r="B62" s="209" t="str">
        <f>_xlfn.XLOOKUP($A62,'(backend scoring)'!$V$2:$V$333,'(backend scoring)'!$A$2:$A$333,"")</f>
        <v>DATA-04</v>
      </c>
      <c r="C62" s="209" t="str">
        <f>IFERROR(VLOOKUP($B62,'Institution Evaluation'!$A$55:$F$345,2,0),IFERROR(VLOOKUP($B62,'Privacy Analyst Evaluation'!$A$46:$F$120,2,0),""))&amp;""</f>
        <v>Do all cryptographic modules in use in your solution conform to the Federal Information Processing Standards (FIPS PUB 140-2 or 140-3)?*</v>
      </c>
      <c r="D62" s="209" t="str">
        <f>IFERROR(VLOOKUP($B62,'Institution Evaluation'!$A$55:$F$345,3,0),IFERROR(VLOOKUP($B62,'Privacy Analyst Evaluation'!$A$46:$F$120,3,0),""))&amp;""</f>
        <v>Yes</v>
      </c>
      <c r="E62" s="209" t="str">
        <f>IFERROR(VLOOKUP($B62,'Institution Evaluation'!$A$55:$F$345,4,0),IFERROR(VLOOKUP($B62,'Privacy Analyst Evaluation'!$A$46:$F$120,4,0),""))&amp;""</f>
        <v xml:space="preserve">Cryptographic modules in use throughout Cursive's AWS environment conform to FIPS 140-2 / 140-3 standards. AWS Key Management Service (KMS) operates on FIPS 140-2 Level 3 validated hardware security modules. AWS CloudHSM (available on-demand for institutional engagements requiring stricter key custody) provides FIPS 140-2 Level 3 dedicated HSMs. TLS implementations across AWS services use FIPS-validated cryptographic modules. Cursive inherits FIPS-validated cryptographic infrastructure from AWS-managed services rather than maintaining separate cryptographic modules. AWS FIPS endpoints can be used where institutional contracts require explicit FIPS endpoint enforcement.
</v>
      </c>
      <c r="F62" s="209" t="str">
        <f>IFERROR(VLOOKUP($B62,'Institution Evaluation'!$A$55:$F$345,6,0),IFERROR(VLOOKUP($B62,'Privacy Analyst Evaluation'!$A$46:$F$120,6,0),""))&amp;""</f>
        <v/>
      </c>
      <c r="G62" s="210"/>
      <c r="H62" s="209" t="str">
        <f>IFERROR(IF($H61+1&gt;'(backend scoring)'!$Q$335,"",$H61+1),"")</f>
        <v/>
      </c>
      <c r="I62" s="209" t="str">
        <f>_xlfn.XLOOKUP($H62,'(backend scoring)'!$S$2:$S$333,'(backend scoring)'!$A$2:$A$333,"")</f>
        <v/>
      </c>
      <c r="J62" s="209" t="str">
        <f>IFERROR(VLOOKUP($I62,'Institution Evaluation'!$A$55:$F$345,2,0),IFERROR(VLOOKUP($I62,'Privacy Analyst Evaluation'!$A$46:$F$120,2,0),""))</f>
        <v/>
      </c>
      <c r="K62" s="209" t="str">
        <f>IFERROR(VLOOKUP($I62,'Institution Evaluation'!$A$55:$F$345,3,0),IFERROR(VLOOKUP($I62,'Privacy Analyst Evaluation'!$A$46:$F$120,3,0),""))&amp;""</f>
        <v/>
      </c>
      <c r="L62" s="209" t="str">
        <f>IFERROR(VLOOKUP($I62,'Institution Evaluation'!$A$55:$F$345,4,0),IFERROR(VLOOKUP($I62,'Privacy Analyst Evaluation'!$A$46:$F$120,4,0),""))&amp;""</f>
        <v/>
      </c>
      <c r="M62" s="209" t="str">
        <f>IFERROR(VLOOKUP($I62,'Institution Evaluation'!$A$55:$F$345,6,0),IFERROR(VLOOKUP($I62,'Privacy Analyst Evaluation'!$A$46:$F$120,6,0),""))&amp;""</f>
        <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row>
    <row r="63" spans="1:338" ht="409.6" x14ac:dyDescent="0.3">
      <c r="A63" s="209">
        <f>IFERROR(IF($A62+1&gt;'(backend scoring)'!$T$335,"",$A62+1),"")</f>
        <v>39</v>
      </c>
      <c r="B63" s="209" t="str">
        <f>_xlfn.XLOOKUP($A63,'(backend scoring)'!$V$2:$V$333,'(backend scoring)'!$A$2:$A$333,"")</f>
        <v>DATA-05</v>
      </c>
      <c r="C63" s="209" t="str">
        <f>IFERROR(VLOOKUP($B63,'Institution Evaluation'!$A$55:$F$345,2,0),IFERROR(VLOOKUP($B63,'Privacy Analyst Evaluation'!$A$46:$F$120,2,0),""))&amp;""</f>
        <v>Will the institution's data be available within the system for a period of time at the completion of this contract?*</v>
      </c>
      <c r="D63" s="209" t="str">
        <f>IFERROR(VLOOKUP($B63,'Institution Evaluation'!$A$55:$F$345,3,0),IFERROR(VLOOKUP($B63,'Privacy Analyst Evaluation'!$A$46:$F$120,3,0),""))&amp;""</f>
        <v>Yes</v>
      </c>
      <c r="E63" s="209" t="str">
        <f>IFERROR(VLOOKUP($B63,'Institution Evaluation'!$A$55:$F$345,4,0),IFERROR(VLOOKUP($B63,'Privacy Analyst Evaluation'!$A$46:$F$120,4,0),""))&amp;""</f>
        <v>At the completion of an institutional contract, institutional data remains accessible within the system for a defined wind-down period to support data export, migration, and audit. Standard wind-down period: 90 days from contract end date, during which the institution can extract data through the institutional LMS (where most institutional data resides) and request export of any Cursive-side data (authorship payloads, audit logs scoped to the institution). Specific retention periods at contract end can be negotiated as part of the master services agreement. After the wind-down period, institutional data is deleted from Cursive's systems per the data deletion procedures in the Cursive Policies and Procedures.</v>
      </c>
      <c r="F63" s="209" t="str">
        <f>IFERROR(VLOOKUP($B63,'Institution Evaluation'!$A$55:$F$345,6,0),IFERROR(VLOOKUP($B63,'Privacy Analyst Evaluation'!$A$46:$F$120,6,0),""))&amp;""</f>
        <v/>
      </c>
      <c r="G63" s="210"/>
      <c r="H63" s="209" t="str">
        <f>IFERROR(IF($H62+1&gt;'(backend scoring)'!$Q$335,"",$H62+1),"")</f>
        <v/>
      </c>
      <c r="I63" s="209" t="str">
        <f>_xlfn.XLOOKUP($H63,'(backend scoring)'!$S$2:$S$333,'(backend scoring)'!$A$2:$A$333,"")</f>
        <v/>
      </c>
      <c r="J63" s="209" t="str">
        <f>IFERROR(VLOOKUP($I63,'Institution Evaluation'!$A$55:$F$345,2,0),IFERROR(VLOOKUP($I63,'Privacy Analyst Evaluation'!$A$46:$F$120,2,0),""))</f>
        <v/>
      </c>
      <c r="K63" s="209" t="str">
        <f>IFERROR(VLOOKUP($I63,'Institution Evaluation'!$A$55:$F$345,3,0),IFERROR(VLOOKUP($I63,'Privacy Analyst Evaluation'!$A$46:$F$120,3,0),""))&amp;""</f>
        <v/>
      </c>
      <c r="L63" s="209" t="str">
        <f>IFERROR(VLOOKUP($I63,'Institution Evaluation'!$A$55:$F$345,4,0),IFERROR(VLOOKUP($I63,'Privacy Analyst Evaluation'!$A$46:$F$120,4,0),""))&amp;""</f>
        <v/>
      </c>
      <c r="M63" s="209" t="str">
        <f>IFERROR(VLOOKUP($I63,'Institution Evaluation'!$A$55:$F$345,6,0),IFERROR(VLOOKUP($I63,'Privacy Analyst Evaluation'!$A$46:$F$120,6,0),""))&amp;""</f>
        <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row>
    <row r="64" spans="1:338" ht="388.8" x14ac:dyDescent="0.3">
      <c r="A64" s="209">
        <f>IFERROR(IF($A63+1&gt;'(backend scoring)'!$T$335,"",$A63+1),"")</f>
        <v>40</v>
      </c>
      <c r="B64" s="209" t="str">
        <f>_xlfn.XLOOKUP($A64,'(backend scoring)'!$V$2:$V$333,'(backend scoring)'!$A$2:$A$333,"")</f>
        <v>DATA-06</v>
      </c>
      <c r="C64" s="209" t="str">
        <f>IFERROR(VLOOKUP($B64,'Institution Evaluation'!$A$55:$F$345,2,0),IFERROR(VLOOKUP($B64,'Privacy Analyst Evaluation'!$A$46:$F$120,2,0),""))&amp;""</f>
        <v>Are ownership rights to all data, inputs, outputs, and metadata retained even through a provider acquisition or bankruptcy event?*</v>
      </c>
      <c r="D64" s="209" t="str">
        <f>IFERROR(VLOOKUP($B64,'Institution Evaluation'!$A$55:$F$345,3,0),IFERROR(VLOOKUP($B64,'Privacy Analyst Evaluation'!$A$46:$F$120,3,0),""))&amp;""</f>
        <v>Yes</v>
      </c>
      <c r="E64" s="209" t="str">
        <f>IFERROR(VLOOKUP($B64,'Institution Evaluation'!$A$55:$F$345,4,0),IFERROR(VLOOKUP($B64,'Privacy Analyst Evaluation'!$A$46:$F$120,4,0),""))&amp;""</f>
        <v>Ownership rights to institutional data, inputs, outputs, and metadata remain with the institution at all times, including in the event of Cursive Technology, Inc. acquisition, merger, or bankruptcy. The master services agreement and any applicable Data Processing Agreement specify that institutional data is owned by the institution and that Cursive holds the data in a fiduciary capacity. Provisions for institutional data return and deletion in the event of provider business changes are documented and survive termination of the agreement.</v>
      </c>
      <c r="F64" s="209" t="str">
        <f>IFERROR(VLOOKUP($B64,'Institution Evaluation'!$A$55:$F$345,6,0),IFERROR(VLOOKUP($B64,'Privacy Analyst Evaluation'!$A$46:$F$120,6,0),""))&amp;""</f>
        <v/>
      </c>
      <c r="G64" s="210"/>
      <c r="H64" s="209" t="str">
        <f>IFERROR(IF($H63+1&gt;'(backend scoring)'!$Q$335,"",$H63+1),"")</f>
        <v/>
      </c>
      <c r="I64" s="209" t="str">
        <f>_xlfn.XLOOKUP($H64,'(backend scoring)'!$S$2:$S$333,'(backend scoring)'!$A$2:$A$333,"")</f>
        <v/>
      </c>
      <c r="J64" s="209" t="str">
        <f>IFERROR(VLOOKUP($I64,'Institution Evaluation'!$A$55:$F$345,2,0),IFERROR(VLOOKUP($I64,'Privacy Analyst Evaluation'!$A$46:$F$120,2,0),""))</f>
        <v/>
      </c>
      <c r="K64" s="209" t="str">
        <f>IFERROR(VLOOKUP($I64,'Institution Evaluation'!$A$55:$F$345,3,0),IFERROR(VLOOKUP($I64,'Privacy Analyst Evaluation'!$A$46:$F$120,3,0),""))&amp;""</f>
        <v/>
      </c>
      <c r="L64" s="209" t="str">
        <f>IFERROR(VLOOKUP($I64,'Institution Evaluation'!$A$55:$F$345,4,0),IFERROR(VLOOKUP($I64,'Privacy Analyst Evaluation'!$A$46:$F$120,4,0),""))&amp;""</f>
        <v/>
      </c>
      <c r="M64" s="209" t="str">
        <f>IFERROR(VLOOKUP($I64,'Institution Evaluation'!$A$55:$F$345,6,0),IFERROR(VLOOKUP($I64,'Privacy Analyst Evaluation'!$A$46:$F$120,6,0),""))&amp;""</f>
        <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row>
    <row r="65" spans="1:338" ht="405" x14ac:dyDescent="0.3">
      <c r="A65" s="209">
        <f>IFERROR(IF($A64+1&gt;'(backend scoring)'!$T$335,"",$A64+1),"")</f>
        <v>41</v>
      </c>
      <c r="B65" s="209" t="str">
        <f>_xlfn.XLOOKUP($A65,'(backend scoring)'!$V$2:$V$333,'(backend scoring)'!$A$2:$A$333,"")</f>
        <v>DATA-07</v>
      </c>
      <c r="C65" s="209" t="str">
        <f>IFERROR(VLOOKUP($B65,'Institution Evaluation'!$A$55:$F$345,2,0),IFERROR(VLOOKUP($B65,'Privacy Analyst Evaluation'!$A$46:$F$120,2,0),""))&amp;""</f>
        <v>Do backups containing the institution's data ever leave the institution's data zone either physically or via network routing?*</v>
      </c>
      <c r="D65" s="209" t="str">
        <f>IFERROR(VLOOKUP($B65,'Institution Evaluation'!$A$55:$F$345,3,0),IFERROR(VLOOKUP($B65,'Privacy Analyst Evaluation'!$A$46:$F$120,3,0),""))&amp;""</f>
        <v>No</v>
      </c>
      <c r="E65" s="209" t="str">
        <f>IFERROR(VLOOKUP($B65,'Institution Evaluation'!$A$55:$F$345,4,0),IFERROR(VLOOKUP($B65,'Privacy Analyst Evaluation'!$A$46:$F$120,4,0),""))&amp;""</f>
        <v>Institutional data does not leave the institution's designated data zone (AWS US-East-1, N. Virginia) through backups or network routing. Backups are stored within the same AWS region using cross-AZ replication for durability and disaster recovery. No backup copies are routed to other AWS regions, transferred to off-AWS storage, or otherwise leave the US-East-1 region without explicit institutional authorization. Where institutional contracts specify alternate regional storage (e.g., for GDPR or PIPL compliance), backup configuration follows the same regional constraint as primary storage.</v>
      </c>
      <c r="F65" s="209" t="str">
        <f>IFERROR(VLOOKUP($B65,'Institution Evaluation'!$A$55:$F$345,6,0),IFERROR(VLOOKUP($B65,'Privacy Analyst Evaluation'!$A$46:$F$120,6,0),""))&amp;""</f>
        <v/>
      </c>
      <c r="G65" s="210"/>
      <c r="H65" s="209" t="str">
        <f>IFERROR(IF($H64+1&gt;'(backend scoring)'!$Q$335,"",$H64+1),"")</f>
        <v/>
      </c>
      <c r="I65" s="209" t="str">
        <f>_xlfn.XLOOKUP($H65,'(backend scoring)'!$S$2:$S$333,'(backend scoring)'!$A$2:$A$333,"")</f>
        <v/>
      </c>
      <c r="J65" s="209" t="str">
        <f>IFERROR(VLOOKUP($I65,'Institution Evaluation'!$A$55:$F$345,2,0),IFERROR(VLOOKUP($I65,'Privacy Analyst Evaluation'!$A$46:$F$120,2,0),""))</f>
        <v/>
      </c>
      <c r="K65" s="209" t="str">
        <f>IFERROR(VLOOKUP($I65,'Institution Evaluation'!$A$55:$F$345,3,0),IFERROR(VLOOKUP($I65,'Privacy Analyst Evaluation'!$A$46:$F$120,3,0),""))&amp;""</f>
        <v/>
      </c>
      <c r="L65" s="209" t="str">
        <f>IFERROR(VLOOKUP($I65,'Institution Evaluation'!$A$55:$F$345,4,0),IFERROR(VLOOKUP($I65,'Privacy Analyst Evaluation'!$A$46:$F$120,4,0),""))&amp;""</f>
        <v/>
      </c>
      <c r="M65" s="209" t="str">
        <f>IFERROR(VLOOKUP($I65,'Institution Evaluation'!$A$55:$F$345,6,0),IFERROR(VLOOKUP($I65,'Privacy Analyst Evaluation'!$A$46:$F$120,6,0),""))&amp;""</f>
        <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row>
    <row r="66" spans="1:338" ht="340.2" x14ac:dyDescent="0.3">
      <c r="A66" s="209">
        <f>IFERROR(IF($A65+1&gt;'(backend scoring)'!$T$335,"",$A65+1),"")</f>
        <v>42</v>
      </c>
      <c r="B66" s="209" t="str">
        <f>_xlfn.XLOOKUP($A66,'(backend scoring)'!$V$2:$V$333,'(backend scoring)'!$A$2:$A$333,"")</f>
        <v>DATA-08</v>
      </c>
      <c r="C66" s="209" t="str">
        <f>IFERROR(VLOOKUP($B66,'Institution Evaluation'!$A$55:$F$345,2,0),IFERROR(VLOOKUP($B66,'Privacy Analyst Evaluation'!$A$46:$F$120,2,0),""))&amp;""</f>
        <v>Is media used for long-term retention of business data and archival purposes stored in a secure, environmentally protected area?*</v>
      </c>
      <c r="D66" s="209" t="str">
        <f>IFERROR(VLOOKUP($B66,'Institution Evaluation'!$A$55:$F$345,3,0),IFERROR(VLOOKUP($B66,'Privacy Analyst Evaluation'!$A$46:$F$120,3,0),""))&amp;""</f>
        <v>Yes</v>
      </c>
      <c r="E66" s="209" t="str">
        <f>IFERROR(VLOOKUP($B66,'Institution Evaluation'!$A$55:$F$345,4,0),IFERROR(VLOOKUP($B66,'Privacy Analyst Evaluation'!$A$46:$F$120,4,0),""))&amp;""</f>
        <v>Long-term retention and archival storage of business data uses AWS S3. AWS data centers provide environmental protections (climate control, fire suppression, redundant power, physical access controls). Archived data inherits the same encryption (AES-256, KMS-managed keys), access controls (IAM least-privilege), and immutability protections as production data. Cursive does not maintain physical media for long-term retention; all archival storage is digital within AWS.</v>
      </c>
      <c r="F66" s="209" t="str">
        <f>IFERROR(VLOOKUP($B66,'Institution Evaluation'!$A$55:$F$345,6,0),IFERROR(VLOOKUP($B66,'Privacy Analyst Evaluation'!$A$46:$F$120,6,0),""))&amp;""</f>
        <v/>
      </c>
      <c r="G66" s="210"/>
      <c r="H66" s="209" t="str">
        <f>IFERROR(IF($H65+1&gt;'(backend scoring)'!$Q$335,"",$H65+1),"")</f>
        <v/>
      </c>
      <c r="I66" s="209" t="str">
        <f>_xlfn.XLOOKUP($H66,'(backend scoring)'!$S$2:$S$333,'(backend scoring)'!$A$2:$A$333,"")</f>
        <v/>
      </c>
      <c r="J66" s="209" t="str">
        <f>IFERROR(VLOOKUP($I66,'Institution Evaluation'!$A$55:$F$345,2,0),IFERROR(VLOOKUP($I66,'Privacy Analyst Evaluation'!$A$46:$F$120,2,0),""))</f>
        <v/>
      </c>
      <c r="K66" s="209" t="str">
        <f>IFERROR(VLOOKUP($I66,'Institution Evaluation'!$A$55:$F$345,3,0),IFERROR(VLOOKUP($I66,'Privacy Analyst Evaluation'!$A$46:$F$120,3,0),""))&amp;""</f>
        <v/>
      </c>
      <c r="L66" s="209" t="str">
        <f>IFERROR(VLOOKUP($I66,'Institution Evaluation'!$A$55:$F$345,4,0),IFERROR(VLOOKUP($I66,'Privacy Analyst Evaluation'!$A$46:$F$120,4,0),""))&amp;""</f>
        <v/>
      </c>
      <c r="M66" s="209" t="str">
        <f>IFERROR(VLOOKUP($I66,'Institution Evaluation'!$A$55:$F$345,6,0),IFERROR(VLOOKUP($I66,'Privacy Analyst Evaluation'!$A$46:$F$120,6,0),""))&amp;""</f>
        <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row>
    <row r="67" spans="1:338" ht="81" x14ac:dyDescent="0.3">
      <c r="A67" s="209">
        <f>IFERROR(IF($A66+1&gt;'(backend scoring)'!$T$335,"",$A66+1),"")</f>
        <v>43</v>
      </c>
      <c r="B67" s="209" t="str">
        <f>_xlfn.XLOOKUP($A67,'(backend scoring)'!$V$2:$V$333,'(backend scoring)'!$A$2:$A$333,"")</f>
        <v>DCTR-06</v>
      </c>
      <c r="C67" s="209" t="str">
        <f>IFERROR(VLOOKUP($B67,'Institution Evaluation'!$A$55:$F$345,2,0),IFERROR(VLOOKUP($B67,'Privacy Analyst Evaluation'!$A$46:$F$120,2,0),""))&amp;""</f>
        <v>Does a physical barrier fully enclose the physical space, preventing unauthorized physical contact with any of your devices?*</v>
      </c>
      <c r="D67" s="209" t="str">
        <f>IFERROR(VLOOKUP($B67,'Institution Evaluation'!$A$55:$F$345,3,0),IFERROR(VLOOKUP($B67,'Privacy Analyst Evaluation'!$A$46:$F$120,3,0),""))&amp;""</f>
        <v>Yes</v>
      </c>
      <c r="E67" s="209" t="str">
        <f>IFERROR(VLOOKUP($B67,'Institution Evaluation'!$A$55:$F$345,4,0),IFERROR(VLOOKUP($B67,'Privacy Analyst Evaluation'!$A$46:$F$120,4,0),""))&amp;""</f>
        <v>This question does not apply.</v>
      </c>
      <c r="F67" s="209" t="str">
        <f>IFERROR(VLOOKUP($B67,'Institution Evaluation'!$A$55:$F$345,6,0),IFERROR(VLOOKUP($B67,'Privacy Analyst Evaluation'!$A$46:$F$120,6,0),""))&amp;""</f>
        <v/>
      </c>
      <c r="G67" s="210"/>
      <c r="H67" s="209" t="str">
        <f>IFERROR(IF($H66+1&gt;'(backend scoring)'!$Q$335,"",$H66+1),"")</f>
        <v/>
      </c>
      <c r="I67" s="209" t="str">
        <f>_xlfn.XLOOKUP($H67,'(backend scoring)'!$S$2:$S$333,'(backend scoring)'!$A$2:$A$333,"")</f>
        <v/>
      </c>
      <c r="J67" s="209" t="str">
        <f>IFERROR(VLOOKUP($I67,'Institution Evaluation'!$A$55:$F$345,2,0),IFERROR(VLOOKUP($I67,'Privacy Analyst Evaluation'!$A$46:$F$120,2,0),""))</f>
        <v/>
      </c>
      <c r="K67" s="209" t="str">
        <f>IFERROR(VLOOKUP($I67,'Institution Evaluation'!$A$55:$F$345,3,0),IFERROR(VLOOKUP($I67,'Privacy Analyst Evaluation'!$A$46:$F$120,3,0),""))&amp;""</f>
        <v/>
      </c>
      <c r="L67" s="209" t="str">
        <f>IFERROR(VLOOKUP($I67,'Institution Evaluation'!$A$55:$F$345,4,0),IFERROR(VLOOKUP($I67,'Privacy Analyst Evaluation'!$A$46:$F$120,4,0),""))&amp;""</f>
        <v/>
      </c>
      <c r="M67" s="209" t="str">
        <f>IFERROR(VLOOKUP($I67,'Institution Evaluation'!$A$55:$F$345,6,0),IFERROR(VLOOKUP($I67,'Privacy Analyst Evaluation'!$A$46:$F$120,6,0),""))&amp;""</f>
        <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row>
    <row r="68" spans="1:338" ht="32.4" x14ac:dyDescent="0.3">
      <c r="A68" s="209">
        <f>IFERROR(IF($A67+1&gt;'(backend scoring)'!$T$335,"",$A67+1),"")</f>
        <v>44</v>
      </c>
      <c r="B68" s="209" t="str">
        <f>_xlfn.XLOOKUP($A68,'(backend scoring)'!$V$2:$V$333,'(backend scoring)'!$A$2:$A$333,"")</f>
        <v>DCTR-10</v>
      </c>
      <c r="C68" s="209" t="str">
        <f>IFERROR(VLOOKUP($B68,'Institution Evaluation'!$A$55:$F$345,2,0),IFERROR(VLOOKUP($B68,'Privacy Analyst Evaluation'!$A$46:$F$120,2,0),""))&amp;""</f>
        <v>Are redundant power strategies tested?*</v>
      </c>
      <c r="D68" s="209" t="str">
        <f>IFERROR(VLOOKUP($B68,'Institution Evaluation'!$A$55:$F$345,3,0),IFERROR(VLOOKUP($B68,'Privacy Analyst Evaluation'!$A$46:$F$120,3,0),""))&amp;""</f>
        <v>Yes</v>
      </c>
      <c r="E68" s="209" t="str">
        <f>IFERROR(VLOOKUP($B68,'Institution Evaluation'!$A$55:$F$345,4,0),IFERROR(VLOOKUP($B68,'Privacy Analyst Evaluation'!$A$46:$F$120,4,0),""))&amp;""</f>
        <v>This question does not apply.</v>
      </c>
      <c r="F68" s="209" t="str">
        <f>IFERROR(VLOOKUP($B68,'Institution Evaluation'!$A$55:$F$345,6,0),IFERROR(VLOOKUP($B68,'Privacy Analyst Evaluation'!$A$46:$F$120,6,0),""))&amp;""</f>
        <v/>
      </c>
      <c r="G68" s="210"/>
      <c r="H68" s="209" t="str">
        <f>IFERROR(IF($H67+1&gt;'(backend scoring)'!$Q$335,"",$H67+1),"")</f>
        <v/>
      </c>
      <c r="I68" s="209" t="str">
        <f>_xlfn.XLOOKUP($H68,'(backend scoring)'!$S$2:$S$333,'(backend scoring)'!$A$2:$A$333,"")</f>
        <v/>
      </c>
      <c r="J68" s="209" t="str">
        <f>IFERROR(VLOOKUP($I68,'Institution Evaluation'!$A$55:$F$345,2,0),IFERROR(VLOOKUP($I68,'Privacy Analyst Evaluation'!$A$46:$F$120,2,0),""))</f>
        <v/>
      </c>
      <c r="K68" s="209" t="str">
        <f>IFERROR(VLOOKUP($I68,'Institution Evaluation'!$A$55:$F$345,3,0),IFERROR(VLOOKUP($I68,'Privacy Analyst Evaluation'!$A$46:$F$120,3,0),""))&amp;""</f>
        <v/>
      </c>
      <c r="L68" s="209" t="str">
        <f>IFERROR(VLOOKUP($I68,'Institution Evaluation'!$A$55:$F$345,4,0),IFERROR(VLOOKUP($I68,'Privacy Analyst Evaluation'!$A$46:$F$120,4,0),""))&amp;""</f>
        <v/>
      </c>
      <c r="M68" s="209" t="str">
        <f>IFERROR(VLOOKUP($I68,'Institution Evaluation'!$A$55:$F$345,6,0),IFERROR(VLOOKUP($I68,'Privacy Analyst Evaluation'!$A$46:$F$120,6,0),""))&amp;""</f>
        <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row>
    <row r="69" spans="1:338" ht="243" x14ac:dyDescent="0.3">
      <c r="A69" s="209">
        <f>IFERROR(IF($A68+1&gt;'(backend scoring)'!$T$335,"",$A68+1),"")</f>
        <v>45</v>
      </c>
      <c r="B69" s="209" t="str">
        <f>_xlfn.XLOOKUP($A69,'(backend scoring)'!$V$2:$V$333,'(backend scoring)'!$A$2:$A$333,"")</f>
        <v>FIDP-01</v>
      </c>
      <c r="C69" s="209" t="str">
        <f>IFERROR(VLOOKUP($B69,'Institution Evaluation'!$A$55:$F$345,2,0),IFERROR(VLOOKUP($B69,'Privacy Analyst Evaluation'!$A$46:$F$120,2,0),""))&amp;""</f>
        <v>Are you utilizing a stateful packet inspection (SPI) firewall?*</v>
      </c>
      <c r="D69" s="209" t="str">
        <f>IFERROR(VLOOKUP($B69,'Institution Evaluation'!$A$55:$F$345,3,0),IFERROR(VLOOKUP($B69,'Privacy Analyst Evaluation'!$A$46:$F$120,3,0),""))&amp;""</f>
        <v>Yes</v>
      </c>
      <c r="E69" s="209" t="str">
        <f>IFERROR(VLOOKUP($B69,'Institution Evaluation'!$A$55:$F$345,4,0),IFERROR(VLOOKUP($B69,'Privacy Analyst Evaluation'!$A$46:$F$120,4,0),""))&amp;""</f>
        <v>Cursive employs stateful packet inspection through AWS Network Firewall and AWS Security Groups. AWS Network Firewall provides stateful traffic inspection with rule-based filtering at the VPC perimeter; AWS Security Groups provide stateful instance-level filtering. Both inherit AWS's underlying network security infrastructure.</v>
      </c>
      <c r="F69" s="209" t="str">
        <f>IFERROR(VLOOKUP($B69,'Institution Evaluation'!$A$55:$F$345,6,0),IFERROR(VLOOKUP($B69,'Privacy Analyst Evaluation'!$A$46:$F$120,6,0),""))&amp;""</f>
        <v/>
      </c>
      <c r="G69" s="210"/>
      <c r="H69" s="209" t="str">
        <f>IFERROR(IF($H68+1&gt;'(backend scoring)'!$Q$335,"",$H68+1),"")</f>
        <v/>
      </c>
      <c r="I69" s="209" t="str">
        <f>_xlfn.XLOOKUP($H69,'(backend scoring)'!$S$2:$S$333,'(backend scoring)'!$A$2:$A$333,"")</f>
        <v/>
      </c>
      <c r="J69" s="209" t="str">
        <f>IFERROR(VLOOKUP($I69,'Institution Evaluation'!$A$55:$F$345,2,0),IFERROR(VLOOKUP($I69,'Privacy Analyst Evaluation'!$A$46:$F$120,2,0),""))</f>
        <v/>
      </c>
      <c r="K69" s="209" t="str">
        <f>IFERROR(VLOOKUP($I69,'Institution Evaluation'!$A$55:$F$345,3,0),IFERROR(VLOOKUP($I69,'Privacy Analyst Evaluation'!$A$46:$F$120,3,0),""))&amp;""</f>
        <v/>
      </c>
      <c r="L69" s="209" t="str">
        <f>IFERROR(VLOOKUP($I69,'Institution Evaluation'!$A$55:$F$345,4,0),IFERROR(VLOOKUP($I69,'Privacy Analyst Evaluation'!$A$46:$F$120,4,0),""))&amp;""</f>
        <v/>
      </c>
      <c r="M69" s="209" t="str">
        <f>IFERROR(VLOOKUP($I69,'Institution Evaluation'!$A$55:$F$345,6,0),IFERROR(VLOOKUP($I69,'Privacy Analyst Evaluation'!$A$46:$F$120,6,0),""))&amp;""</f>
        <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row>
    <row r="70" spans="1:338" ht="356.4" x14ac:dyDescent="0.3">
      <c r="A70" s="209">
        <f>IFERROR(IF($A69+1&gt;'(backend scoring)'!$T$335,"",$A69+1),"")</f>
        <v>46</v>
      </c>
      <c r="B70" s="209" t="str">
        <f>_xlfn.XLOOKUP($A70,'(backend scoring)'!$V$2:$V$333,'(backend scoring)'!$A$2:$A$333,"")</f>
        <v>FIDP-02</v>
      </c>
      <c r="C70" s="209" t="str">
        <f>IFERROR(VLOOKUP($B70,'Institution Evaluation'!$A$55:$F$345,2,0),IFERROR(VLOOKUP($B70,'Privacy Analyst Evaluation'!$A$46:$F$120,2,0),""))&amp;""</f>
        <v>Do you have a documented policy for firewall change requests?*</v>
      </c>
      <c r="D70" s="209" t="str">
        <f>IFERROR(VLOOKUP($B70,'Institution Evaluation'!$A$55:$F$345,3,0),IFERROR(VLOOKUP($B70,'Privacy Analyst Evaluation'!$A$46:$F$120,3,0),""))&amp;""</f>
        <v>Yes</v>
      </c>
      <c r="E70" s="209" t="str">
        <f>IFERROR(VLOOKUP($B70,'Institution Evaluation'!$A$55:$F$345,4,0),IFERROR(VLOOKUP($B70,'Privacy Analyst Evaluation'!$A$46:$F$120,4,0),""))&amp;""</f>
        <v>Firewall change requests follow Cursive's documented change management process per the Cursive Policies and Procedures and SDLC. Network and firewall configuration changes are managed as code where possible (Infrastructure as Code via AWS CloudFormation / Terraform under the EKS rebuild), require Founder/CEO approval, undergo Security Impact Analysis, and are deployed through the standard QA/Release workflow with audit logging via AWS CloudTrail.</v>
      </c>
      <c r="F70" s="209" t="str">
        <f>IFERROR(VLOOKUP($B70,'Institution Evaluation'!$A$55:$F$345,6,0),IFERROR(VLOOKUP($B70,'Privacy Analyst Evaluation'!$A$46:$F$120,6,0),""))&amp;""</f>
        <v/>
      </c>
      <c r="G70" s="210"/>
      <c r="H70" s="209" t="str">
        <f>IFERROR(IF($H69+1&gt;'(backend scoring)'!$Q$335,"",$H69+1),"")</f>
        <v/>
      </c>
      <c r="I70" s="209" t="str">
        <f>_xlfn.XLOOKUP($H70,'(backend scoring)'!$S$2:$S$333,'(backend scoring)'!$A$2:$A$333,"")</f>
        <v/>
      </c>
      <c r="J70" s="209" t="str">
        <f>IFERROR(VLOOKUP($I70,'Institution Evaluation'!$A$55:$F$345,2,0),IFERROR(VLOOKUP($I70,'Privacy Analyst Evaluation'!$A$46:$F$120,2,0),""))</f>
        <v/>
      </c>
      <c r="K70" s="209" t="str">
        <f>IFERROR(VLOOKUP($I70,'Institution Evaluation'!$A$55:$F$345,3,0),IFERROR(VLOOKUP($I70,'Privacy Analyst Evaluation'!$A$46:$F$120,3,0),""))&amp;""</f>
        <v/>
      </c>
      <c r="L70" s="209" t="str">
        <f>IFERROR(VLOOKUP($I70,'Institution Evaluation'!$A$55:$F$345,4,0),IFERROR(VLOOKUP($I70,'Privacy Analyst Evaluation'!$A$46:$F$120,4,0),""))&amp;""</f>
        <v/>
      </c>
      <c r="M70" s="209" t="str">
        <f>IFERROR(VLOOKUP($I70,'Institution Evaluation'!$A$55:$F$345,6,0),IFERROR(VLOOKUP($I70,'Privacy Analyst Evaluation'!$A$46:$F$120,6,0),""))&amp;""</f>
        <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row>
    <row r="71" spans="1:338" ht="409.6" x14ac:dyDescent="0.3">
      <c r="A71" s="209">
        <f>IFERROR(IF($A70+1&gt;'(backend scoring)'!$T$335,"",$A70+1),"")</f>
        <v>47</v>
      </c>
      <c r="B71" s="209" t="str">
        <f>_xlfn.XLOOKUP($A71,'(backend scoring)'!$V$2:$V$333,'(backend scoring)'!$A$2:$A$333,"")</f>
        <v>FIDP-03</v>
      </c>
      <c r="C71" s="209" t="str">
        <f>IFERROR(VLOOKUP($B71,'Institution Evaluation'!$A$55:$F$345,2,0),IFERROR(VLOOKUP($B71,'Privacy Analyst Evaluation'!$A$46:$F$120,2,0),""))&amp;""</f>
        <v>Have you implemented an intrusion detection system (network-based)?*</v>
      </c>
      <c r="D71" s="209" t="str">
        <f>IFERROR(VLOOKUP($B71,'Institution Evaluation'!$A$55:$F$345,3,0),IFERROR(VLOOKUP($B71,'Privacy Analyst Evaluation'!$A$46:$F$120,3,0),""))&amp;""</f>
        <v>No</v>
      </c>
      <c r="E71" s="209" t="str">
        <f>IFERROR(VLOOKUP($B71,'Institution Evaluation'!$A$55:$F$345,4,0),IFERROR(VLOOKUP($B71,'Privacy Analyst Evaluation'!$A$46:$F$120,4,0),""))&amp;""</f>
        <v xml:space="preserve">Cursive does not currently operate a dedicated network-based intrusion detection system. Network-layer protection is provided through AWS Network Firewall (per FIDP-01), AWS Security Groups, VPC isolation, and TLS 1.2+ encryption on all network traffic. AWS GuardDuty (which provides managed threat detection for AWS environments including network-flow analysis, DNS analysis, and anomaly detection) is under evaluation as part of the EKS rebuild and AWS security certification effort. Once GuardDuty is enabled, this control will move to "Yes."
</v>
      </c>
      <c r="F71" s="209" t="str">
        <f>IFERROR(VLOOKUP($B71,'Institution Evaluation'!$A$55:$F$345,6,0),IFERROR(VLOOKUP($B71,'Privacy Analyst Evaluation'!$A$46:$F$120,6,0),""))&amp;""</f>
        <v/>
      </c>
      <c r="G71" s="210"/>
      <c r="H71" s="209" t="str">
        <f>IFERROR(IF($H70+1&gt;'(backend scoring)'!$Q$335,"",$H70+1),"")</f>
        <v/>
      </c>
      <c r="I71" s="209" t="str">
        <f>_xlfn.XLOOKUP($H71,'(backend scoring)'!$S$2:$S$333,'(backend scoring)'!$A$2:$A$333,"")</f>
        <v/>
      </c>
      <c r="J71" s="209" t="str">
        <f>IFERROR(VLOOKUP($I71,'Institution Evaluation'!$A$55:$F$345,2,0),IFERROR(VLOOKUP($I71,'Privacy Analyst Evaluation'!$A$46:$F$120,2,0),""))</f>
        <v/>
      </c>
      <c r="K71" s="209" t="str">
        <f>IFERROR(VLOOKUP($I71,'Institution Evaluation'!$A$55:$F$345,3,0),IFERROR(VLOOKUP($I71,'Privacy Analyst Evaluation'!$A$46:$F$120,3,0),""))&amp;""</f>
        <v/>
      </c>
      <c r="L71" s="209" t="str">
        <f>IFERROR(VLOOKUP($I71,'Institution Evaluation'!$A$55:$F$345,4,0),IFERROR(VLOOKUP($I71,'Privacy Analyst Evaluation'!$A$46:$F$120,4,0),""))&amp;""</f>
        <v/>
      </c>
      <c r="M71" s="209" t="str">
        <f>IFERROR(VLOOKUP($I71,'Institution Evaluation'!$A$55:$F$345,6,0),IFERROR(VLOOKUP($I71,'Privacy Analyst Evaluation'!$A$46:$F$120,6,0),""))&amp;""</f>
        <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row>
    <row r="72" spans="1:338" ht="405" x14ac:dyDescent="0.3">
      <c r="A72" s="209">
        <f>IFERROR(IF($A71+1&gt;'(backend scoring)'!$T$335,"",$A71+1),"")</f>
        <v>48</v>
      </c>
      <c r="B72" s="209" t="str">
        <f>_xlfn.XLOOKUP($A72,'(backend scoring)'!$V$2:$V$333,'(backend scoring)'!$A$2:$A$333,"")</f>
        <v>FIDP-04</v>
      </c>
      <c r="C72" s="209" t="str">
        <f>IFERROR(VLOOKUP($B72,'Institution Evaluation'!$A$55:$F$345,2,0),IFERROR(VLOOKUP($B72,'Privacy Analyst Evaluation'!$A$46:$F$120,2,0),""))&amp;""</f>
        <v>Do you employ host-based intrusion detection?*</v>
      </c>
      <c r="D72" s="209" t="str">
        <f>IFERROR(VLOOKUP($B72,'Institution Evaluation'!$A$55:$F$345,3,0),IFERROR(VLOOKUP($B72,'Privacy Analyst Evaluation'!$A$46:$F$120,3,0),""))&amp;""</f>
        <v>No</v>
      </c>
      <c r="E72" s="209" t="str">
        <f>IFERROR(VLOOKUP($B72,'Institution Evaluation'!$A$55:$F$345,4,0),IFERROR(VLOOKUP($B72,'Privacy Analyst Evaluation'!$A$46:$F$120,4,0),""))&amp;""</f>
        <v>Cursive does not currently operate dedicated host-based intrusion detection on production hosts. AWS-managed services (EKS, RDS, S3) inherit AWS's underlying host security controls. AWS GuardDuty (which includes runtime monitoring for EKS workloads via the EKS Runtime Monitoring feature) is under evaluation for deployment as part of the EKS rebuild. Until host-based IDS is deployed, compensating controls include AWS-managed service hardening, AWS IAM least-privilege scoping, container image scanning, and CloudTrail audit logging.</v>
      </c>
      <c r="F72" s="209" t="str">
        <f>IFERROR(VLOOKUP($B72,'Institution Evaluation'!$A$55:$F$345,6,0),IFERROR(VLOOKUP($B72,'Privacy Analyst Evaluation'!$A$46:$F$120,6,0),""))&amp;""</f>
        <v/>
      </c>
      <c r="G72" s="210"/>
      <c r="H72" s="209" t="str">
        <f>IFERROR(IF($H71+1&gt;'(backend scoring)'!$Q$335,"",$H71+1),"")</f>
        <v/>
      </c>
      <c r="I72" s="209" t="str">
        <f>_xlfn.XLOOKUP($H72,'(backend scoring)'!$S$2:$S$333,'(backend scoring)'!$A$2:$A$333,"")</f>
        <v/>
      </c>
      <c r="J72" s="209" t="str">
        <f>IFERROR(VLOOKUP($I72,'Institution Evaluation'!$A$55:$F$345,2,0),IFERROR(VLOOKUP($I72,'Privacy Analyst Evaluation'!$A$46:$F$120,2,0),""))</f>
        <v/>
      </c>
      <c r="K72" s="209" t="str">
        <f>IFERROR(VLOOKUP($I72,'Institution Evaluation'!$A$55:$F$345,3,0),IFERROR(VLOOKUP($I72,'Privacy Analyst Evaluation'!$A$46:$F$120,3,0),""))&amp;""</f>
        <v/>
      </c>
      <c r="L72" s="209" t="str">
        <f>IFERROR(VLOOKUP($I72,'Institution Evaluation'!$A$55:$F$345,4,0),IFERROR(VLOOKUP($I72,'Privacy Analyst Evaluation'!$A$46:$F$120,4,0),""))&amp;""</f>
        <v/>
      </c>
      <c r="M72" s="209" t="str">
        <f>IFERROR(VLOOKUP($I72,'Institution Evaluation'!$A$55:$F$345,6,0),IFERROR(VLOOKUP($I72,'Privacy Analyst Evaluation'!$A$46:$F$120,6,0),""))&amp;""</f>
        <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row>
    <row r="73" spans="1:338" ht="409.6" x14ac:dyDescent="0.3">
      <c r="A73" s="209">
        <f>IFERROR(IF($A72+1&gt;'(backend scoring)'!$T$335,"",$A72+1),"")</f>
        <v>49</v>
      </c>
      <c r="B73" s="209" t="str">
        <f>_xlfn.XLOOKUP($A73,'(backend scoring)'!$V$2:$V$333,'(backend scoring)'!$A$2:$A$333,"")</f>
        <v>FIDP-05</v>
      </c>
      <c r="C73" s="209" t="str">
        <f>IFERROR(VLOOKUP($B73,'Institution Evaluation'!$A$55:$F$345,2,0),IFERROR(VLOOKUP($B73,'Privacy Analyst Evaluation'!$A$46:$F$120,2,0),""))&amp;""</f>
        <v>Are audit logs available for all changes to the network, firewall, IDS, and IPS systems?*</v>
      </c>
      <c r="D73" s="209" t="str">
        <f>IFERROR(VLOOKUP($B73,'Institution Evaluation'!$A$55:$F$345,3,0),IFERROR(VLOOKUP($B73,'Privacy Analyst Evaluation'!$A$46:$F$120,3,0),""))&amp;""</f>
        <v>Yes</v>
      </c>
      <c r="E73" s="209" t="str">
        <f>IFERROR(VLOOKUP($B73,'Institution Evaluation'!$A$55:$F$345,4,0),IFERROR(VLOOKUP($B73,'Privacy Analyst Evaluation'!$A$46:$F$120,4,0),""))&amp;""</f>
        <v>Audit logs are available for all changes to network, firewall, and (when enabled) IDS configurations through AWS CloudTrail, which logs all AWS API calls including network and security configuration changes. CloudTrail logs are retained per the audit retention requirements in the Cursive Policies and Procedures (3+ years), are immutable, and are accessible to authorized Cursive personnel for review and to institutional customers under audit on contractual request. AWS Config (under deployment as part of the EKS rebuild) will provide additional configuration change tracking with point-in-time state history.</v>
      </c>
      <c r="F73" s="209" t="str">
        <f>IFERROR(VLOOKUP($B73,'Institution Evaluation'!$A$55:$F$345,6,0),IFERROR(VLOOKUP($B73,'Privacy Analyst Evaluation'!$A$46:$F$120,6,0),""))&amp;""</f>
        <v/>
      </c>
      <c r="G73" s="210"/>
      <c r="H73" s="209" t="str">
        <f>IFERROR(IF($H72+1&gt;'(backend scoring)'!$Q$335,"",$H72+1),"")</f>
        <v/>
      </c>
      <c r="I73" s="209" t="str">
        <f>_xlfn.XLOOKUP($H73,'(backend scoring)'!$S$2:$S$333,'(backend scoring)'!$A$2:$A$333,"")</f>
        <v/>
      </c>
      <c r="J73" s="209" t="str">
        <f>IFERROR(VLOOKUP($I73,'Institution Evaluation'!$A$55:$F$345,2,0),IFERROR(VLOOKUP($I73,'Privacy Analyst Evaluation'!$A$46:$F$120,2,0),""))</f>
        <v/>
      </c>
      <c r="K73" s="209" t="str">
        <f>IFERROR(VLOOKUP($I73,'Institution Evaluation'!$A$55:$F$345,3,0),IFERROR(VLOOKUP($I73,'Privacy Analyst Evaluation'!$A$46:$F$120,3,0),""))&amp;""</f>
        <v/>
      </c>
      <c r="L73" s="209" t="str">
        <f>IFERROR(VLOOKUP($I73,'Institution Evaluation'!$A$55:$F$345,4,0),IFERROR(VLOOKUP($I73,'Privacy Analyst Evaluation'!$A$46:$F$120,4,0),""))&amp;""</f>
        <v/>
      </c>
      <c r="M73" s="209" t="str">
        <f>IFERROR(VLOOKUP($I73,'Institution Evaluation'!$A$55:$F$345,6,0),IFERROR(VLOOKUP($I73,'Privacy Analyst Evaluation'!$A$46:$F$120,6,0),""))&amp;""</f>
        <v/>
      </c>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row>
    <row r="74" spans="1:338" ht="405" x14ac:dyDescent="0.3">
      <c r="A74" s="209">
        <f>IFERROR(IF($A73+1&gt;'(backend scoring)'!$T$335,"",$A73+1),"")</f>
        <v>50</v>
      </c>
      <c r="B74" s="209" t="str">
        <f>_xlfn.XLOOKUP($A74,'(backend scoring)'!$V$2:$V$333,'(backend scoring)'!$A$2:$A$333,"")</f>
        <v>PPPR-01</v>
      </c>
      <c r="C74" s="209" t="str">
        <f>IFERROR(VLOOKUP($B74,'Institution Evaluation'!$A$55:$F$345,2,0),IFERROR(VLOOKUP($B74,'Privacy Analyst Evaluation'!$A$46:$F$120,2,0),""))&amp;""</f>
        <v>Do you have a documented patch management process?*</v>
      </c>
      <c r="D74" s="209" t="str">
        <f>IFERROR(VLOOKUP($B74,'Institution Evaluation'!$A$55:$F$345,3,0),IFERROR(VLOOKUP($B74,'Privacy Analyst Evaluation'!$A$46:$F$120,3,0),""))&amp;""</f>
        <v>Yes</v>
      </c>
      <c r="E74" s="209" t="str">
        <f>IFERROR(VLOOKUP($B74,'Institution Evaluation'!$A$55:$F$345,4,0),IFERROR(VLOOKUP($B74,'Privacy Analyst Evaluation'!$A$46:$F$120,4,0),""))&amp;""</f>
        <v>Cursive maintains a documented patch management process per the Cursive Policies and Procedures. Severity-based remediation timelines (Critical: 7 days; High: 30 days; Medium: 60 days; Low: 90 days) govern patch prioritization. AWS-managed services (EKS, RDS, S3) inherit AWS's patching cadence; application-layer patches and dependency updates flow through the standard SDLC change management process with Dependabot-driven dependency monitoring. All patch deployments are tracked in Linear with associated GitHub pull requests for audit trail.</v>
      </c>
      <c r="F74" s="209" t="str">
        <f>IFERROR(VLOOKUP($B74,'Institution Evaluation'!$A$55:$F$345,6,0),IFERROR(VLOOKUP($B74,'Privacy Analyst Evaluation'!$A$46:$F$120,6,0),""))&amp;""</f>
        <v/>
      </c>
      <c r="G74" s="210"/>
      <c r="H74" s="209" t="str">
        <f>IFERROR(IF($H73+1&gt;'(backend scoring)'!$Q$335,"",$H73+1),"")</f>
        <v/>
      </c>
      <c r="I74" s="209" t="str">
        <f>_xlfn.XLOOKUP($H74,'(backend scoring)'!$S$2:$S$333,'(backend scoring)'!$A$2:$A$333,"")</f>
        <v/>
      </c>
      <c r="J74" s="209" t="str">
        <f>IFERROR(VLOOKUP($I74,'Institution Evaluation'!$A$55:$F$345,2,0),IFERROR(VLOOKUP($I74,'Privacy Analyst Evaluation'!$A$46:$F$120,2,0),""))</f>
        <v/>
      </c>
      <c r="K74" s="209" t="str">
        <f>IFERROR(VLOOKUP($I74,'Institution Evaluation'!$A$55:$F$345,3,0),IFERROR(VLOOKUP($I74,'Privacy Analyst Evaluation'!$A$46:$F$120,3,0),""))&amp;""</f>
        <v/>
      </c>
      <c r="L74" s="209" t="str">
        <f>IFERROR(VLOOKUP($I74,'Institution Evaluation'!$A$55:$F$345,4,0),IFERROR(VLOOKUP($I74,'Privacy Analyst Evaluation'!$A$46:$F$120,4,0),""))&amp;""</f>
        <v/>
      </c>
      <c r="M74" s="209" t="str">
        <f>IFERROR(VLOOKUP($I74,'Institution Evaluation'!$A$55:$F$345,6,0),IFERROR(VLOOKUP($I74,'Privacy Analyst Evaluation'!$A$46:$F$120,6,0),""))&amp;""</f>
        <v/>
      </c>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row>
    <row r="75" spans="1:338" ht="388.8" x14ac:dyDescent="0.3">
      <c r="A75" s="209">
        <f>IFERROR(IF($A74+1&gt;'(backend scoring)'!$T$335,"",$A74+1),"")</f>
        <v>51</v>
      </c>
      <c r="B75" s="209" t="str">
        <f>_xlfn.XLOOKUP($A75,'(backend scoring)'!$V$2:$V$333,'(backend scoring)'!$A$2:$A$333,"")</f>
        <v>PPPR-02</v>
      </c>
      <c r="C75" s="209" t="str">
        <f>IFERROR(VLOOKUP($B75,'Institution Evaluation'!$A$55:$F$345,2,0),IFERROR(VLOOKUP($B75,'Privacy Analyst Evaluation'!$A$46:$F$120,2,0),""))&amp;""</f>
        <v>Can your organization comply with institutional policies on privacy and data protection with regard to users of institutional systems, if required?*</v>
      </c>
      <c r="D75" s="209" t="str">
        <f>IFERROR(VLOOKUP($B75,'Institution Evaluation'!$A$55:$F$345,3,0),IFERROR(VLOOKUP($B75,'Privacy Analyst Evaluation'!$A$46:$F$120,3,0),""))&amp;""</f>
        <v>Yes</v>
      </c>
      <c r="E75" s="209" t="str">
        <f>IFERROR(VLOOKUP($B75,'Institution Evaluation'!$A$55:$F$345,4,0),IFERROR(VLOOKUP($B75,'Privacy Analyst Evaluation'!$A$46:$F$120,4,0),""))&amp;""</f>
        <v>Cursive will comply with institutional policies on privacy and data protection as agreed in the master services agreement and any applicable Data Processing Agreement. Institution-specific privacy and data protection requirements can be incorporated through contract addenda. Cursive's data minimization architecture (no name, email, or grade data collected; opaque LMS-issued UUIDs only; default de-identification) materially supports alignment with most institutional privacy policies without requiring custom configuration.</v>
      </c>
      <c r="F75" s="209" t="str">
        <f>IFERROR(VLOOKUP($B75,'Institution Evaluation'!$A$55:$F$345,6,0),IFERROR(VLOOKUP($B75,'Privacy Analyst Evaluation'!$A$46:$F$120,6,0),""))&amp;""</f>
        <v/>
      </c>
      <c r="G75" s="210"/>
      <c r="H75" s="209" t="str">
        <f>IFERROR(IF($H74+1&gt;'(backend scoring)'!$Q$335,"",$H74+1),"")</f>
        <v/>
      </c>
      <c r="I75" s="209" t="str">
        <f>_xlfn.XLOOKUP($H75,'(backend scoring)'!$S$2:$S$333,'(backend scoring)'!$A$2:$A$333,"")</f>
        <v/>
      </c>
      <c r="J75" s="209" t="str">
        <f>IFERROR(VLOOKUP($I75,'Institution Evaluation'!$A$55:$F$345,2,0),IFERROR(VLOOKUP($I75,'Privacy Analyst Evaluation'!$A$46:$F$120,2,0),""))</f>
        <v/>
      </c>
      <c r="K75" s="209" t="str">
        <f>IFERROR(VLOOKUP($I75,'Institution Evaluation'!$A$55:$F$345,3,0),IFERROR(VLOOKUP($I75,'Privacy Analyst Evaluation'!$A$46:$F$120,3,0),""))&amp;""</f>
        <v/>
      </c>
      <c r="L75" s="209" t="str">
        <f>IFERROR(VLOOKUP($I75,'Institution Evaluation'!$A$55:$F$345,4,0),IFERROR(VLOOKUP($I75,'Privacy Analyst Evaluation'!$A$46:$F$120,4,0),""))&amp;""</f>
        <v/>
      </c>
      <c r="M75" s="209" t="str">
        <f>IFERROR(VLOOKUP($I75,'Institution Evaluation'!$A$55:$F$345,6,0),IFERROR(VLOOKUP($I75,'Privacy Analyst Evaluation'!$A$46:$F$120,6,0),""))&amp;""</f>
        <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row>
    <row r="76" spans="1:338" ht="409.6" x14ac:dyDescent="0.3">
      <c r="A76" s="209">
        <f>IFERROR(IF($A75+1&gt;'(backend scoring)'!$T$335,"",$A75+1),"")</f>
        <v>52</v>
      </c>
      <c r="B76" s="209" t="str">
        <f>_xlfn.XLOOKUP($A76,'(backend scoring)'!$V$2:$V$333,'(backend scoring)'!$A$2:$A$333,"")</f>
        <v>PPPR-03</v>
      </c>
      <c r="C76" s="209" t="str">
        <f>IFERROR(VLOOKUP($B76,'Institution Evaluation'!$A$55:$F$345,2,0),IFERROR(VLOOKUP($B76,'Privacy Analyst Evaluation'!$A$46:$F$120,2,0),""))&amp;""</f>
        <v>Is your company subject to the institution's geographic region's laws and regulations?*</v>
      </c>
      <c r="D76" s="209" t="str">
        <f>IFERROR(VLOOKUP($B76,'Institution Evaluation'!$A$55:$F$345,3,0),IFERROR(VLOOKUP($B76,'Privacy Analyst Evaluation'!$A$46:$F$120,3,0),""))&amp;""</f>
        <v>Yes</v>
      </c>
      <c r="E76" s="209" t="str">
        <f>IFERROR(VLOOKUP($B76,'Institution Evaluation'!$A$55:$F$345,4,0),IFERROR(VLOOKUP($B76,'Privacy Analyst Evaluation'!$A$46:$F$120,4,0),""))&amp;""</f>
        <v>Cursive is incorporated in Maryland, USA, and is subject to applicable US federal and state law including FERPA (when contracted as a school official), state privacy laws (Maryland PIPA, California CCPA/CPRA where applicable, and other state laws based on institutional location), state breach notification statutes, and applicable federal cybersecurity guidance. For institutional customers in other jurisdictions, Cursive will additionally comply with applicable local laws and regulations through contractual commitment, including PIPL for the existing Shanghai International Studies University engagement and GDPR for any future EU/UK engagements.</v>
      </c>
      <c r="F76" s="209" t="str">
        <f>IFERROR(VLOOKUP($B76,'Institution Evaluation'!$A$55:$F$345,6,0),IFERROR(VLOOKUP($B76,'Privacy Analyst Evaluation'!$A$46:$F$120,6,0),""))&amp;""</f>
        <v/>
      </c>
      <c r="G76" s="210"/>
      <c r="H76" s="209" t="str">
        <f>IFERROR(IF($H75+1&gt;'(backend scoring)'!$Q$335,"",$H75+1),"")</f>
        <v/>
      </c>
      <c r="I76" s="209" t="str">
        <f>_xlfn.XLOOKUP($H76,'(backend scoring)'!$S$2:$S$333,'(backend scoring)'!$A$2:$A$333,"")</f>
        <v/>
      </c>
      <c r="J76" s="209" t="str">
        <f>IFERROR(VLOOKUP($I76,'Institution Evaluation'!$A$55:$F$345,2,0),IFERROR(VLOOKUP($I76,'Privacy Analyst Evaluation'!$A$46:$F$120,2,0),""))</f>
        <v/>
      </c>
      <c r="K76" s="209" t="str">
        <f>IFERROR(VLOOKUP($I76,'Institution Evaluation'!$A$55:$F$345,3,0),IFERROR(VLOOKUP($I76,'Privacy Analyst Evaluation'!$A$46:$F$120,3,0),""))&amp;""</f>
        <v/>
      </c>
      <c r="L76" s="209" t="str">
        <f>IFERROR(VLOOKUP($I76,'Institution Evaluation'!$A$55:$F$345,4,0),IFERROR(VLOOKUP($I76,'Privacy Analyst Evaluation'!$A$46:$F$120,4,0),""))&amp;""</f>
        <v/>
      </c>
      <c r="M76" s="209" t="str">
        <f>IFERROR(VLOOKUP($I76,'Institution Evaluation'!$A$55:$F$345,6,0),IFERROR(VLOOKUP($I76,'Privacy Analyst Evaluation'!$A$46:$F$120,6,0),""))&amp;""</f>
        <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row>
    <row r="77" spans="1:338" ht="409.6" x14ac:dyDescent="0.3">
      <c r="A77" s="209">
        <f>IFERROR(IF($A76+1&gt;'(backend scoring)'!$T$335,"",$A76+1),"")</f>
        <v>53</v>
      </c>
      <c r="B77" s="209" t="str">
        <f>_xlfn.XLOOKUP($A77,'(backend scoring)'!$V$2:$V$333,'(backend scoring)'!$A$2:$A$333,"")</f>
        <v>VULN-01</v>
      </c>
      <c r="C77" s="209" t="str">
        <f>IFERROR(VLOOKUP($B77,'Institution Evaluation'!$A$55:$F$345,2,0),IFERROR(VLOOKUP($B77,'Privacy Analyst Evaluation'!$A$46:$F$120,2,0),""))&amp;""</f>
        <v>Are your systems and applications scanned with an authenticated user account for vulnerabilities (that are remediated) prior to new releases?*</v>
      </c>
      <c r="D77" s="209" t="str">
        <f>IFERROR(VLOOKUP($B77,'Institution Evaluation'!$A$55:$F$345,3,0),IFERROR(VLOOKUP($B77,'Privacy Analyst Evaluation'!$A$46:$F$120,3,0),""))&amp;""</f>
        <v>No</v>
      </c>
      <c r="E77" s="209" t="str">
        <f>IFERROR(VLOOKUP($B77,'Institution Evaluation'!$A$55:$F$345,4,0),IFERROR(VLOOKUP($B77,'Privacy Analyst Evaluation'!$A$46:$F$120,4,0),""))&amp;""</f>
        <v xml:space="preserve">Partly - Vulnerability scanning is performed during development and pre-release through GitHub-native tooling (Dependabot for dependency vulnerability monitoring, CodeQL for code analysis where applicable). Identified vulnerabilities are tracked in the Plan of Action and Milestones (POAM) and Linear ticket workflow with severity-based remediation timelines (Critical: 7 days; High: 30 days; Medium: 60 days; Low: 90 days). Authenticated user-account-based vulnerability scanning of production systems via dedicated SAST/DAST tooling is not currently performed on every release; this is on the application security roadmap as part of the AWS security certification effort and EKS rebuild. Most recent third-party authenticated vulnerability scan: Tenable Nessus, December 2023 / January 2024. Next formal third-party assessment is being scheduled as part of the AWS security certification work currently underway.
</v>
      </c>
      <c r="F77" s="209" t="str">
        <f>IFERROR(VLOOKUP($B77,'Institution Evaluation'!$A$55:$F$345,6,0),IFERROR(VLOOKUP($B77,'Privacy Analyst Evaluation'!$A$46:$F$120,6,0),""))&amp;""</f>
        <v/>
      </c>
      <c r="G77" s="210"/>
      <c r="H77" s="209" t="str">
        <f>IFERROR(IF($H76+1&gt;'(backend scoring)'!$Q$335,"",$H76+1),"")</f>
        <v/>
      </c>
      <c r="I77" s="209" t="str">
        <f>_xlfn.XLOOKUP($H77,'(backend scoring)'!$S$2:$S$333,'(backend scoring)'!$A$2:$A$333,"")</f>
        <v/>
      </c>
      <c r="J77" s="209" t="str">
        <f>IFERROR(VLOOKUP($I77,'Institution Evaluation'!$A$55:$F$345,2,0),IFERROR(VLOOKUP($I77,'Privacy Analyst Evaluation'!$A$46:$F$120,2,0),""))</f>
        <v/>
      </c>
      <c r="K77" s="209" t="str">
        <f>IFERROR(VLOOKUP($I77,'Institution Evaluation'!$A$55:$F$345,3,0),IFERROR(VLOOKUP($I77,'Privacy Analyst Evaluation'!$A$46:$F$120,3,0),""))&amp;""</f>
        <v/>
      </c>
      <c r="L77" s="209" t="str">
        <f>IFERROR(VLOOKUP($I77,'Institution Evaluation'!$A$55:$F$345,4,0),IFERROR(VLOOKUP($I77,'Privacy Analyst Evaluation'!$A$46:$F$120,4,0),""))&amp;""</f>
        <v/>
      </c>
      <c r="M77" s="209" t="str">
        <f>IFERROR(VLOOKUP($I77,'Institution Evaluation'!$A$55:$F$345,6,0),IFERROR(VLOOKUP($I77,'Privacy Analyst Evaluation'!$A$46:$F$120,6,0),""))&amp;""</f>
        <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row>
    <row r="78" spans="1:338" ht="409.6" x14ac:dyDescent="0.3">
      <c r="A78" s="209">
        <f>IFERROR(IF($A77+1&gt;'(backend scoring)'!$T$335,"",$A77+1),"")</f>
        <v>54</v>
      </c>
      <c r="B78" s="209" t="str">
        <f>_xlfn.XLOOKUP($A78,'(backend scoring)'!$V$2:$V$333,'(backend scoring)'!$A$2:$A$333,"")</f>
        <v>VULN-02</v>
      </c>
      <c r="C78" s="209" t="str">
        <f>IFERROR(VLOOKUP($B78,'Institution Evaluation'!$A$55:$F$345,2,0),IFERROR(VLOOKUP($B78,'Privacy Analyst Evaluation'!$A$46:$F$120,2,0),""))&amp;""</f>
        <v>Will you provide results of application and system vulnerability scans to the institution?*</v>
      </c>
      <c r="D78" s="209" t="str">
        <f>IFERROR(VLOOKUP($B78,'Institution Evaluation'!$A$55:$F$345,3,0),IFERROR(VLOOKUP($B78,'Privacy Analyst Evaluation'!$A$46:$F$120,3,0),""))&amp;""</f>
        <v>Yes</v>
      </c>
      <c r="E78" s="209" t="str">
        <f>IFERROR(VLOOKUP($B78,'Institution Evaluation'!$A$55:$F$345,4,0),IFERROR(VLOOKUP($B78,'Privacy Analyst Evaluation'!$A$46:$F$120,4,0),""))&amp;""</f>
        <v>Cursive will provide vulnerability scan results to institutional customers under NDA on request. Results from third-party assessments (e.g., Tenable Nessus assessment from December 2023 / January 2024) are available; results from future assessments scheduled as part of the AWS security certification work will similarly be available. Active findings tracked in the POAM are also shareable under NDA. Cursive's standard practice is to redact vulnerability details that could enable exploitation if disclosed prematurely; institutions can review summary findings, severity ratings, and remediation status.</v>
      </c>
      <c r="F78" s="209" t="str">
        <f>IFERROR(VLOOKUP($B78,'Institution Evaluation'!$A$55:$F$345,6,0),IFERROR(VLOOKUP($B78,'Privacy Analyst Evaluation'!$A$46:$F$120,6,0),""))&amp;""</f>
        <v/>
      </c>
      <c r="G78" s="210"/>
      <c r="H78" s="209" t="str">
        <f>IFERROR(IF($H77+1&gt;'(backend scoring)'!$Q$335,"",$H77+1),"")</f>
        <v/>
      </c>
      <c r="I78" s="209" t="str">
        <f>_xlfn.XLOOKUP($H78,'(backend scoring)'!$S$2:$S$333,'(backend scoring)'!$A$2:$A$333,"")</f>
        <v/>
      </c>
      <c r="J78" s="209" t="str">
        <f>IFERROR(VLOOKUP($I78,'Institution Evaluation'!$A$55:$F$345,2,0),IFERROR(VLOOKUP($I78,'Privacy Analyst Evaluation'!$A$46:$F$120,2,0),""))</f>
        <v/>
      </c>
      <c r="K78" s="209" t="str">
        <f>IFERROR(VLOOKUP($I78,'Institution Evaluation'!$A$55:$F$345,3,0),IFERROR(VLOOKUP($I78,'Privacy Analyst Evaluation'!$A$46:$F$120,3,0),""))&amp;""</f>
        <v/>
      </c>
      <c r="L78" s="209" t="str">
        <f>IFERROR(VLOOKUP($I78,'Institution Evaluation'!$A$55:$F$345,4,0),IFERROR(VLOOKUP($I78,'Privacy Analyst Evaluation'!$A$46:$F$120,4,0),""))&amp;""</f>
        <v/>
      </c>
      <c r="M78" s="209" t="str">
        <f>IFERROR(VLOOKUP($I78,'Institution Evaluation'!$A$55:$F$345,6,0),IFERROR(VLOOKUP($I78,'Privacy Analyst Evaluation'!$A$46:$F$120,6,0),""))&amp;""</f>
        <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row>
    <row r="79" spans="1:338" ht="409.6" x14ac:dyDescent="0.3">
      <c r="A79" s="209">
        <f>IFERROR(IF($A78+1&gt;'(backend scoring)'!$T$335,"",$A78+1),"")</f>
        <v>55</v>
      </c>
      <c r="B79" s="209" t="str">
        <f>_xlfn.XLOOKUP($A79,'(backend scoring)'!$V$2:$V$333,'(backend scoring)'!$A$2:$A$333,"")</f>
        <v>VULN-03</v>
      </c>
      <c r="C79" s="209" t="str">
        <f>IFERROR(VLOOKUP($B79,'Institution Evaluation'!$A$55:$F$345,2,0),IFERROR(VLOOKUP($B79,'Privacy Analyst Evaluation'!$A$46:$F$120,2,0),""))&amp;""</f>
        <v>Will you allow the institution to perform its own vulnerability testing and/or scanning of your systems and/or application, provided that testing is performed at a mutually agreed upon time and date?*</v>
      </c>
      <c r="D79" s="209" t="str">
        <f>IFERROR(VLOOKUP($B79,'Institution Evaluation'!$A$55:$F$345,3,0),IFERROR(VLOOKUP($B79,'Privacy Analyst Evaluation'!$A$46:$F$120,3,0),""))&amp;""</f>
        <v>Yes</v>
      </c>
      <c r="E79" s="209" t="str">
        <f>IFERROR(VLOOKUP($B79,'Institution Evaluation'!$A$55:$F$345,4,0),IFERROR(VLOOKUP($B79,'Privacy Analyst Evaluation'!$A$46:$F$120,4,0),""))&amp;""</f>
        <v>Cursive will permit institutional vulnerability testing of TypeID systems at a mutually agreed time and date, with appropriate scope, rules of engagement, and notification. Testing terms (scope, methodology, target environments, data handling, communication, post-test reporting) are negotiated as part of the institutional engagement, typically through the master services agreement or a dedicated penetration testing addendum. Testing should target Cursive-controlled infrastructure (TypeID API, Moodle plugin, browser extension); testing of underlying AWS infrastructure must comply with AWS's published Penetration Testing policy.</v>
      </c>
      <c r="F79" s="209" t="str">
        <f>IFERROR(VLOOKUP($B79,'Institution Evaluation'!$A$55:$F$345,6,0),IFERROR(VLOOKUP($B79,'Privacy Analyst Evaluation'!$A$46:$F$120,6,0),""))&amp;""</f>
        <v/>
      </c>
      <c r="G79" s="210"/>
      <c r="H79" s="209" t="str">
        <f>IFERROR(IF($H78+1&gt;'(backend scoring)'!$Q$335,"",$H78+1),"")</f>
        <v/>
      </c>
      <c r="I79" s="209" t="str">
        <f>_xlfn.XLOOKUP($H79,'(backend scoring)'!$S$2:$S$333,'(backend scoring)'!$A$2:$A$333,"")</f>
        <v/>
      </c>
      <c r="J79" s="209" t="str">
        <f>IFERROR(VLOOKUP($I79,'Institution Evaluation'!$A$55:$F$345,2,0),IFERROR(VLOOKUP($I79,'Privacy Analyst Evaluation'!$A$46:$F$120,2,0),""))</f>
        <v/>
      </c>
      <c r="K79" s="209" t="str">
        <f>IFERROR(VLOOKUP($I79,'Institution Evaluation'!$A$55:$F$345,3,0),IFERROR(VLOOKUP($I79,'Privacy Analyst Evaluation'!$A$46:$F$120,3,0),""))&amp;""</f>
        <v/>
      </c>
      <c r="L79" s="209" t="str">
        <f>IFERROR(VLOOKUP($I79,'Institution Evaluation'!$A$55:$F$345,4,0),IFERROR(VLOOKUP($I79,'Privacy Analyst Evaluation'!$A$46:$F$120,4,0),""))&amp;""</f>
        <v/>
      </c>
      <c r="M79" s="209" t="str">
        <f>IFERROR(VLOOKUP($I79,'Institution Evaluation'!$A$55:$F$345,6,0),IFERROR(VLOOKUP($I79,'Privacy Analyst Evaluation'!$A$46:$F$120,6,0),""))&amp;""</f>
        <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row>
    <row r="80" spans="1:338" ht="97.2" x14ac:dyDescent="0.3">
      <c r="A80" s="209">
        <f>IFERROR(IF($A79+1&gt;'(backend scoring)'!$T$335,"",$A79+1),"")</f>
        <v>56</v>
      </c>
      <c r="B80" s="209" t="str">
        <f>_xlfn.XLOOKUP($A80,'(backend scoring)'!$V$2:$V$333,'(backend scoring)'!$A$2:$A$333,"")</f>
        <v>HIPA-01</v>
      </c>
      <c r="C80" s="209" t="str">
        <f>IFERROR(VLOOKUP($B80,'Institution Evaluation'!$A$55:$F$345,2,0),IFERROR(VLOOKUP($B80,'Privacy Analyst Evaluation'!$A$46:$F$120,2,0),""))&amp;""</f>
        <v>Do your workforce members receive regular training related to the Health Insurance Portability and Accountability Act (HIPAA) Privacy and Security Rules and the HITECH Act?*</v>
      </c>
      <c r="D80" s="209" t="str">
        <f>IFERROR(VLOOKUP($B80,'Institution Evaluation'!$A$55:$F$345,3,0),IFERROR(VLOOKUP($B80,'Privacy Analyst Evaluation'!$A$46:$F$120,3,0),""))&amp;""</f>
        <v/>
      </c>
      <c r="E80" s="209" t="str">
        <f>IFERROR(VLOOKUP($B80,'Institution Evaluation'!$A$55:$F$345,4,0),IFERROR(VLOOKUP($B80,'Privacy Analyst Evaluation'!$A$46:$F$120,4,0),""))&amp;""</f>
        <v>This question does not apply.</v>
      </c>
      <c r="F80" s="209" t="str">
        <f>IFERROR(VLOOKUP($B80,'Institution Evaluation'!$A$55:$F$345,6,0),IFERROR(VLOOKUP($B80,'Privacy Analyst Evaluation'!$A$46:$F$120,6,0),""))&amp;""</f>
        <v/>
      </c>
      <c r="G80" s="210"/>
      <c r="H80" s="209" t="str">
        <f>IFERROR(IF($H79+1&gt;'(backend scoring)'!$Q$335,"",$H79+1),"")</f>
        <v/>
      </c>
      <c r="I80" s="209" t="str">
        <f>_xlfn.XLOOKUP($H80,'(backend scoring)'!$S$2:$S$333,'(backend scoring)'!$A$2:$A$333,"")</f>
        <v/>
      </c>
      <c r="J80" s="209" t="str">
        <f>IFERROR(VLOOKUP($I80,'Institution Evaluation'!$A$55:$F$345,2,0),IFERROR(VLOOKUP($I80,'Privacy Analyst Evaluation'!$A$46:$F$120,2,0),""))</f>
        <v/>
      </c>
      <c r="K80" s="209" t="str">
        <f>IFERROR(VLOOKUP($I80,'Institution Evaluation'!$A$55:$F$345,3,0),IFERROR(VLOOKUP($I80,'Privacy Analyst Evaluation'!$A$46:$F$120,3,0),""))&amp;""</f>
        <v/>
      </c>
      <c r="L80" s="209" t="str">
        <f>IFERROR(VLOOKUP($I80,'Institution Evaluation'!$A$55:$F$345,4,0),IFERROR(VLOOKUP($I80,'Privacy Analyst Evaluation'!$A$46:$F$120,4,0),""))&amp;""</f>
        <v/>
      </c>
      <c r="M80" s="209" t="str">
        <f>IFERROR(VLOOKUP($I80,'Institution Evaluation'!$A$55:$F$345,6,0),IFERROR(VLOOKUP($I80,'Privacy Analyst Evaluation'!$A$46:$F$120,6,0),""))&amp;""</f>
        <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row>
    <row r="81" spans="1:338" ht="32.4" x14ac:dyDescent="0.3">
      <c r="A81" s="209">
        <f>IFERROR(IF($A80+1&gt;'(backend scoring)'!$T$335,"",$A80+1),"")</f>
        <v>57</v>
      </c>
      <c r="B81" s="209" t="str">
        <f>_xlfn.XLOOKUP($A81,'(backend scoring)'!$V$2:$V$333,'(backend scoring)'!$A$2:$A$333,"")</f>
        <v>HIPA-02</v>
      </c>
      <c r="C81" s="209" t="str">
        <f>IFERROR(VLOOKUP($B81,'Institution Evaluation'!$A$55:$F$345,2,0),IFERROR(VLOOKUP($B81,'Privacy Analyst Evaluation'!$A$46:$F$120,2,0),""))&amp;""</f>
        <v>Have you identified areas of risk?*</v>
      </c>
      <c r="D81" s="209" t="str">
        <f>IFERROR(VLOOKUP($B81,'Institution Evaluation'!$A$55:$F$345,3,0),IFERROR(VLOOKUP($B81,'Privacy Analyst Evaluation'!$A$46:$F$120,3,0),""))&amp;""</f>
        <v/>
      </c>
      <c r="E81" s="209" t="str">
        <f>IFERROR(VLOOKUP($B81,'Institution Evaluation'!$A$55:$F$345,4,0),IFERROR(VLOOKUP($B81,'Privacy Analyst Evaluation'!$A$46:$F$120,4,0),""))&amp;""</f>
        <v>This question does not apply.</v>
      </c>
      <c r="F81" s="209" t="str">
        <f>IFERROR(VLOOKUP($B81,'Institution Evaluation'!$A$55:$F$345,6,0),IFERROR(VLOOKUP($B81,'Privacy Analyst Evaluation'!$A$46:$F$120,6,0),""))&amp;""</f>
        <v/>
      </c>
      <c r="G81" s="210"/>
      <c r="H81" s="209" t="str">
        <f>IFERROR(IF($H80+1&gt;'(backend scoring)'!$Q$335,"",$H80+1),"")</f>
        <v/>
      </c>
      <c r="I81" s="209" t="str">
        <f>_xlfn.XLOOKUP($H81,'(backend scoring)'!$S$2:$S$333,'(backend scoring)'!$A$2:$A$333,"")</f>
        <v/>
      </c>
      <c r="J81" s="209" t="str">
        <f>IFERROR(VLOOKUP($I81,'Institution Evaluation'!$A$55:$F$345,2,0),IFERROR(VLOOKUP($I81,'Privacy Analyst Evaluation'!$A$46:$F$120,2,0),""))</f>
        <v/>
      </c>
      <c r="K81" s="209" t="str">
        <f>IFERROR(VLOOKUP($I81,'Institution Evaluation'!$A$55:$F$345,3,0),IFERROR(VLOOKUP($I81,'Privacy Analyst Evaluation'!$A$46:$F$120,3,0),""))&amp;""</f>
        <v/>
      </c>
      <c r="L81" s="209" t="str">
        <f>IFERROR(VLOOKUP($I81,'Institution Evaluation'!$A$55:$F$345,4,0),IFERROR(VLOOKUP($I81,'Privacy Analyst Evaluation'!$A$46:$F$120,4,0),""))&amp;""</f>
        <v/>
      </c>
      <c r="M81" s="209" t="str">
        <f>IFERROR(VLOOKUP($I81,'Institution Evaluation'!$A$55:$F$345,6,0),IFERROR(VLOOKUP($I81,'Privacy Analyst Evaluation'!$A$46:$F$120,6,0),""))&amp;""</f>
        <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row>
    <row r="82" spans="1:338" ht="32.4" x14ac:dyDescent="0.3">
      <c r="A82" s="209">
        <f>IFERROR(IF($A81+1&gt;'(backend scoring)'!$T$335,"",$A81+1),"")</f>
        <v>58</v>
      </c>
      <c r="B82" s="209" t="str">
        <f>_xlfn.XLOOKUP($A82,'(backend scoring)'!$V$2:$V$333,'(backend scoring)'!$A$2:$A$333,"")</f>
        <v>HIPA-03</v>
      </c>
      <c r="C82" s="209" t="str">
        <f>IFERROR(VLOOKUP($B82,'Institution Evaluation'!$A$55:$F$345,2,0),IFERROR(VLOOKUP($B82,'Privacy Analyst Evaluation'!$A$46:$F$120,2,0),""))&amp;""</f>
        <v>Have the relevant policies/plans been tested?*</v>
      </c>
      <c r="D82" s="209" t="str">
        <f>IFERROR(VLOOKUP($B82,'Institution Evaluation'!$A$55:$F$345,3,0),IFERROR(VLOOKUP($B82,'Privacy Analyst Evaluation'!$A$46:$F$120,3,0),""))&amp;""</f>
        <v/>
      </c>
      <c r="E82" s="209" t="str">
        <f>IFERROR(VLOOKUP($B82,'Institution Evaluation'!$A$55:$F$345,4,0),IFERROR(VLOOKUP($B82,'Privacy Analyst Evaluation'!$A$46:$F$120,4,0),""))&amp;""</f>
        <v>This question does not apply.</v>
      </c>
      <c r="F82" s="209" t="str">
        <f>IFERROR(VLOOKUP($B82,'Institution Evaluation'!$A$55:$F$345,6,0),IFERROR(VLOOKUP($B82,'Privacy Analyst Evaluation'!$A$46:$F$120,6,0),""))&amp;""</f>
        <v/>
      </c>
      <c r="G82" s="210"/>
      <c r="H82" s="209" t="str">
        <f>IFERROR(IF($H81+1&gt;'(backend scoring)'!$Q$335,"",$H81+1),"")</f>
        <v/>
      </c>
      <c r="I82" s="209" t="str">
        <f>_xlfn.XLOOKUP($H82,'(backend scoring)'!$S$2:$S$333,'(backend scoring)'!$A$2:$A$333,"")</f>
        <v/>
      </c>
      <c r="J82" s="209" t="str">
        <f>IFERROR(VLOOKUP($I82,'Institution Evaluation'!$A$55:$F$345,2,0),IFERROR(VLOOKUP($I82,'Privacy Analyst Evaluation'!$A$46:$F$120,2,0),""))</f>
        <v/>
      </c>
      <c r="K82" s="209" t="str">
        <f>IFERROR(VLOOKUP($I82,'Institution Evaluation'!$A$55:$F$345,3,0),IFERROR(VLOOKUP($I82,'Privacy Analyst Evaluation'!$A$46:$F$120,3,0),""))&amp;""</f>
        <v/>
      </c>
      <c r="L82" s="209" t="str">
        <f>IFERROR(VLOOKUP($I82,'Institution Evaluation'!$A$55:$F$345,4,0),IFERROR(VLOOKUP($I82,'Privacy Analyst Evaluation'!$A$46:$F$120,4,0),""))&amp;""</f>
        <v/>
      </c>
      <c r="M82" s="209" t="str">
        <f>IFERROR(VLOOKUP($I82,'Institution Evaluation'!$A$55:$F$345,6,0),IFERROR(VLOOKUP($I82,'Privacy Analyst Evaluation'!$A$46:$F$120,6,0),""))&amp;""</f>
        <v/>
      </c>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row>
    <row r="83" spans="1:338" ht="81" x14ac:dyDescent="0.3">
      <c r="A83" s="209">
        <f>IFERROR(IF($A82+1&gt;'(backend scoring)'!$T$335,"",$A82+1),"")</f>
        <v>59</v>
      </c>
      <c r="B83" s="209" t="str">
        <f>_xlfn.XLOOKUP($A83,'(backend scoring)'!$V$2:$V$333,'(backend scoring)'!$A$2:$A$333,"")</f>
        <v>HIPA-04</v>
      </c>
      <c r="C83" s="209" t="str">
        <f>IFERROR(VLOOKUP($B83,'Institution Evaluation'!$A$55:$F$345,2,0),IFERROR(VLOOKUP($B83,'Privacy Analyst Evaluation'!$A$46:$F$120,2,0),""))&amp;""</f>
        <v>Have you entered into a Business Associate Agreements with all subcontractors who may have access to protected health information (PHI)?*</v>
      </c>
      <c r="D83" s="209" t="str">
        <f>IFERROR(VLOOKUP($B83,'Institution Evaluation'!$A$55:$F$345,3,0),IFERROR(VLOOKUP($B83,'Privacy Analyst Evaluation'!$A$46:$F$120,3,0),""))&amp;""</f>
        <v/>
      </c>
      <c r="E83" s="209" t="str">
        <f>IFERROR(VLOOKUP($B83,'Institution Evaluation'!$A$55:$F$345,4,0),IFERROR(VLOOKUP($B83,'Privacy Analyst Evaluation'!$A$46:$F$120,4,0),""))&amp;""</f>
        <v>This question does not apply.</v>
      </c>
      <c r="F83" s="209" t="str">
        <f>IFERROR(VLOOKUP($B83,'Institution Evaluation'!$A$55:$F$345,6,0),IFERROR(VLOOKUP($B83,'Privacy Analyst Evaluation'!$A$46:$F$120,6,0),""))&amp;""</f>
        <v/>
      </c>
      <c r="G83" s="210"/>
      <c r="H83" s="209" t="str">
        <f>IFERROR(IF($H82+1&gt;'(backend scoring)'!$Q$335,"",$H82+1),"")</f>
        <v/>
      </c>
      <c r="I83" s="209" t="str">
        <f>_xlfn.XLOOKUP($H83,'(backend scoring)'!$S$2:$S$333,'(backend scoring)'!$A$2:$A$333,"")</f>
        <v/>
      </c>
      <c r="J83" s="209" t="str">
        <f>IFERROR(VLOOKUP($I83,'Institution Evaluation'!$A$55:$F$345,2,0),IFERROR(VLOOKUP($I83,'Privacy Analyst Evaluation'!$A$46:$F$120,2,0),""))</f>
        <v/>
      </c>
      <c r="K83" s="209" t="str">
        <f>IFERROR(VLOOKUP($I83,'Institution Evaluation'!$A$55:$F$345,3,0),IFERROR(VLOOKUP($I83,'Privacy Analyst Evaluation'!$A$46:$F$120,3,0),""))&amp;""</f>
        <v/>
      </c>
      <c r="L83" s="209" t="str">
        <f>IFERROR(VLOOKUP($I83,'Institution Evaluation'!$A$55:$F$345,4,0),IFERROR(VLOOKUP($I83,'Privacy Analyst Evaluation'!$A$46:$F$120,4,0),""))&amp;""</f>
        <v/>
      </c>
      <c r="M83" s="209" t="str">
        <f>IFERROR(VLOOKUP($I83,'Institution Evaluation'!$A$55:$F$345,6,0),IFERROR(VLOOKUP($I83,'Privacy Analyst Evaluation'!$A$46:$F$120,6,0),""))&amp;""</f>
        <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row>
    <row r="84" spans="1:338" ht="64.8" x14ac:dyDescent="0.3">
      <c r="A84" s="209">
        <f>IFERROR(IF($A83+1&gt;'(backend scoring)'!$T$335,"",$A83+1),"")</f>
        <v>60</v>
      </c>
      <c r="B84" s="209" t="str">
        <f>_xlfn.XLOOKUP($A84,'(backend scoring)'!$V$2:$V$333,'(backend scoring)'!$A$2:$A$333,"")</f>
        <v>PCID-01</v>
      </c>
      <c r="C84" s="209" t="str">
        <f>IFERROR(VLOOKUP($B84,'Institution Evaluation'!$A$55:$F$345,2,0),IFERROR(VLOOKUP($B84,'Privacy Analyst Evaluation'!$A$46:$F$120,2,0),""))&amp;""</f>
        <v>Do you have a current, executed within the past year, Attestation of Compliance (AoC) or Report on Compliance (RoC)?*</v>
      </c>
      <c r="D84" s="209" t="str">
        <f>IFERROR(VLOOKUP($B84,'Institution Evaluation'!$A$55:$F$345,3,0),IFERROR(VLOOKUP($B84,'Privacy Analyst Evaluation'!$A$46:$F$120,3,0),""))&amp;""</f>
        <v/>
      </c>
      <c r="E84" s="209" t="str">
        <f>IFERROR(VLOOKUP($B84,'Institution Evaluation'!$A$55:$F$345,4,0),IFERROR(VLOOKUP($B84,'Privacy Analyst Evaluation'!$A$46:$F$120,4,0),""))&amp;""</f>
        <v>This question does not apply.</v>
      </c>
      <c r="F84" s="209" t="str">
        <f>IFERROR(VLOOKUP($B84,'Institution Evaluation'!$A$55:$F$345,6,0),IFERROR(VLOOKUP($B84,'Privacy Analyst Evaluation'!$A$46:$F$120,6,0),""))&amp;""</f>
        <v/>
      </c>
      <c r="G84" s="210"/>
      <c r="H84" s="209" t="str">
        <f>IFERROR(IF($H83+1&gt;'(backend scoring)'!$Q$335,"",$H83+1),"")</f>
        <v/>
      </c>
      <c r="I84" s="209" t="str">
        <f>_xlfn.XLOOKUP($H84,'(backend scoring)'!$S$2:$S$333,'(backend scoring)'!$A$2:$A$333,"")</f>
        <v/>
      </c>
      <c r="J84" s="209" t="str">
        <f>IFERROR(VLOOKUP($I84,'Institution Evaluation'!$A$55:$F$345,2,0),IFERROR(VLOOKUP($I84,'Privacy Analyst Evaluation'!$A$46:$F$120,2,0),""))</f>
        <v/>
      </c>
      <c r="K84" s="209" t="str">
        <f>IFERROR(VLOOKUP($I84,'Institution Evaluation'!$A$55:$F$345,3,0),IFERROR(VLOOKUP($I84,'Privacy Analyst Evaluation'!$A$46:$F$120,3,0),""))&amp;""</f>
        <v/>
      </c>
      <c r="L84" s="209" t="str">
        <f>IFERROR(VLOOKUP($I84,'Institution Evaluation'!$A$55:$F$345,4,0),IFERROR(VLOOKUP($I84,'Privacy Analyst Evaluation'!$A$46:$F$120,4,0),""))&amp;""</f>
        <v/>
      </c>
      <c r="M84" s="209" t="str">
        <f>IFERROR(VLOOKUP($I84,'Institution Evaluation'!$A$55:$F$345,6,0),IFERROR(VLOOKUP($I84,'Privacy Analyst Evaluation'!$A$46:$F$120,6,0),""))&amp;""</f>
        <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row>
    <row r="85" spans="1:338" ht="64.8" x14ac:dyDescent="0.3">
      <c r="A85" s="209">
        <f>IFERROR(IF($A84+1&gt;'(backend scoring)'!$T$335,"",$A84+1),"")</f>
        <v>61</v>
      </c>
      <c r="B85" s="209" t="str">
        <f>_xlfn.XLOOKUP($A85,'(backend scoring)'!$V$2:$V$333,'(backend scoring)'!$A$2:$A$333,"")</f>
        <v>PCID-02</v>
      </c>
      <c r="C85" s="209" t="str">
        <f>IFERROR(VLOOKUP($B85,'Institution Evaluation'!$A$55:$F$345,2,0),IFERROR(VLOOKUP($B85,'Privacy Analyst Evaluation'!$A$46:$F$120,2,0),""))&amp;""</f>
        <v>Is the application listed as an approved Payment Application Data Security Standard (PA-DSS) application?*</v>
      </c>
      <c r="D85" s="209" t="str">
        <f>IFERROR(VLOOKUP($B85,'Institution Evaluation'!$A$55:$F$345,3,0),IFERROR(VLOOKUP($B85,'Privacy Analyst Evaluation'!$A$46:$F$120,3,0),""))&amp;""</f>
        <v/>
      </c>
      <c r="E85" s="209" t="str">
        <f>IFERROR(VLOOKUP($B85,'Institution Evaluation'!$A$55:$F$345,4,0),IFERROR(VLOOKUP($B85,'Privacy Analyst Evaluation'!$A$46:$F$120,4,0),""))&amp;""</f>
        <v>This question does not apply.</v>
      </c>
      <c r="F85" s="209" t="str">
        <f>IFERROR(VLOOKUP($B85,'Institution Evaluation'!$A$55:$F$345,6,0),IFERROR(VLOOKUP($B85,'Privacy Analyst Evaluation'!$A$46:$F$120,6,0),""))&amp;""</f>
        <v/>
      </c>
      <c r="G85" s="210"/>
      <c r="H85" s="209" t="str">
        <f>IFERROR(IF($H84+1&gt;'(backend scoring)'!$Q$335,"",$H84+1),"")</f>
        <v/>
      </c>
      <c r="I85" s="209" t="str">
        <f>_xlfn.XLOOKUP($H85,'(backend scoring)'!$S$2:$S$333,'(backend scoring)'!$A$2:$A$333,"")</f>
        <v/>
      </c>
      <c r="J85" s="209" t="str">
        <f>IFERROR(VLOOKUP($I85,'Institution Evaluation'!$A$55:$F$345,2,0),IFERROR(VLOOKUP($I85,'Privacy Analyst Evaluation'!$A$46:$F$120,2,0),""))</f>
        <v/>
      </c>
      <c r="K85" s="209" t="str">
        <f>IFERROR(VLOOKUP($I85,'Institution Evaluation'!$A$55:$F$345,3,0),IFERROR(VLOOKUP($I85,'Privacy Analyst Evaluation'!$A$46:$F$120,3,0),""))&amp;""</f>
        <v/>
      </c>
      <c r="L85" s="209" t="str">
        <f>IFERROR(VLOOKUP($I85,'Institution Evaluation'!$A$55:$F$345,4,0),IFERROR(VLOOKUP($I85,'Privacy Analyst Evaluation'!$A$46:$F$120,4,0),""))&amp;""</f>
        <v/>
      </c>
      <c r="M85" s="209" t="str">
        <f>IFERROR(VLOOKUP($I85,'Institution Evaluation'!$A$55:$F$345,6,0),IFERROR(VLOOKUP($I85,'Privacy Analyst Evaluation'!$A$46:$F$120,6,0),""))&amp;""</f>
        <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row>
    <row r="86" spans="1:338" ht="81" x14ac:dyDescent="0.3">
      <c r="A86" s="209">
        <f>IFERROR(IF($A85+1&gt;'(backend scoring)'!$T$335,"",$A85+1),"")</f>
        <v>62</v>
      </c>
      <c r="B86" s="209" t="str">
        <f>_xlfn.XLOOKUP($A86,'(backend scoring)'!$V$2:$V$333,'(backend scoring)'!$A$2:$A$333,"")</f>
        <v>PCID-03</v>
      </c>
      <c r="C86" s="209" t="str">
        <f>IFERROR(VLOOKUP($B86,'Institution Evaluation'!$A$55:$F$345,2,0),IFERROR(VLOOKUP($B86,'Privacy Analyst Evaluation'!$A$46:$F$120,2,0),""))&amp;""</f>
        <v>Does the system or solutions use a third party to collect, store, process, or transmit cardholder (payment/credit/debt card) data?*</v>
      </c>
      <c r="D86" s="209" t="str">
        <f>IFERROR(VLOOKUP($B86,'Institution Evaluation'!$A$55:$F$345,3,0),IFERROR(VLOOKUP($B86,'Privacy Analyst Evaluation'!$A$46:$F$120,3,0),""))&amp;""</f>
        <v/>
      </c>
      <c r="E86" s="209" t="str">
        <f>IFERROR(VLOOKUP($B86,'Institution Evaluation'!$A$55:$F$345,4,0),IFERROR(VLOOKUP($B86,'Privacy Analyst Evaluation'!$A$46:$F$120,4,0),""))&amp;""</f>
        <v>This question does not apply.</v>
      </c>
      <c r="F86" s="209" t="str">
        <f>IFERROR(VLOOKUP($B86,'Institution Evaluation'!$A$55:$F$345,6,0),IFERROR(VLOOKUP($B86,'Privacy Analyst Evaluation'!$A$46:$F$120,6,0),""))&amp;""</f>
        <v/>
      </c>
      <c r="G86" s="210"/>
      <c r="H86" s="209" t="str">
        <f>IFERROR(IF($H85+1&gt;'(backend scoring)'!$Q$335,"",$H85+1),"")</f>
        <v/>
      </c>
      <c r="I86" s="209" t="str">
        <f>_xlfn.XLOOKUP($H86,'(backend scoring)'!$S$2:$S$333,'(backend scoring)'!$A$2:$A$333,"")</f>
        <v/>
      </c>
      <c r="J86" s="209" t="str">
        <f>IFERROR(VLOOKUP($I86,'Institution Evaluation'!$A$55:$F$345,2,0),IFERROR(VLOOKUP($I86,'Privacy Analyst Evaluation'!$A$46:$F$120,2,0),""))</f>
        <v/>
      </c>
      <c r="K86" s="209" t="str">
        <f>IFERROR(VLOOKUP($I86,'Institution Evaluation'!$A$55:$F$345,3,0),IFERROR(VLOOKUP($I86,'Privacy Analyst Evaluation'!$A$46:$F$120,3,0),""))&amp;""</f>
        <v/>
      </c>
      <c r="L86" s="209" t="str">
        <f>IFERROR(VLOOKUP($I86,'Institution Evaluation'!$A$55:$F$345,4,0),IFERROR(VLOOKUP($I86,'Privacy Analyst Evaluation'!$A$46:$F$120,4,0),""))&amp;""</f>
        <v/>
      </c>
      <c r="M86" s="209" t="str">
        <f>IFERROR(VLOOKUP($I86,'Institution Evaluation'!$A$55:$F$345,6,0),IFERROR(VLOOKUP($I86,'Privacy Analyst Evaluation'!$A$46:$F$120,6,0),""))&amp;""</f>
        <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row>
    <row r="87" spans="1:338" ht="145.80000000000001" x14ac:dyDescent="0.3">
      <c r="A87" s="209">
        <f>IFERROR(IF($A86+1&gt;'(backend scoring)'!$T$335,"",$A86+1),"")</f>
        <v>63</v>
      </c>
      <c r="B87" s="209" t="str">
        <f>_xlfn.XLOOKUP($A87,'(backend scoring)'!$V$2:$V$333,'(backend scoring)'!$A$2:$A$333,"")</f>
        <v>PCOM-01</v>
      </c>
      <c r="C87" s="209" t="str">
        <f>IFERROR(VLOOKUP($B87,'Institution Evaluation'!$A$55:$F$345,2,0),IFERROR(VLOOKUP($B87,'Privacy Analyst Evaluation'!$A$46:$F$120,2,0),""))&amp;""</f>
        <v>Have you had a personal data breach in the past three years that involved reporting to a governmental agency, notice to individuals (including voluntary notice), or notice to another organization or institution?*</v>
      </c>
      <c r="D87" s="209" t="str">
        <f>IFERROR(VLOOKUP($B87,'Institution Evaluation'!$A$55:$F$345,3,0),IFERROR(VLOOKUP($B87,'Privacy Analyst Evaluation'!$A$46:$F$120,3,0),""))&amp;""</f>
        <v>No</v>
      </c>
      <c r="E87" s="209" t="str">
        <f>IFERROR(VLOOKUP($B87,'Institution Evaluation'!$A$55:$F$345,4,0),IFERROR(VLOOKUP($B87,'Privacy Analyst Evaluation'!$A$46:$F$120,4,0),""))&amp;""</f>
        <v>Cursive has not had a personal data breach in the past three years requiring reporting to a governmental agency, notice to individuals, or notice to another organization or institution.</v>
      </c>
      <c r="F87" s="209" t="str">
        <f>IFERROR(VLOOKUP($B87,'Institution Evaluation'!$A$55:$F$345,6,0),IFERROR(VLOOKUP($B87,'Privacy Analyst Evaluation'!$A$46:$F$120,6,0),""))&amp;""</f>
        <v/>
      </c>
      <c r="G87" s="210"/>
      <c r="H87" s="209" t="str">
        <f>IFERROR(IF($H86+1&gt;'(backend scoring)'!$Q$335,"",$H86+1),"")</f>
        <v/>
      </c>
      <c r="I87" s="209" t="str">
        <f>_xlfn.XLOOKUP($H87,'(backend scoring)'!$S$2:$S$333,'(backend scoring)'!$A$2:$A$333,"")</f>
        <v/>
      </c>
      <c r="J87" s="209" t="str">
        <f>IFERROR(VLOOKUP($I87,'Institution Evaluation'!$A$55:$F$345,2,0),IFERROR(VLOOKUP($I87,'Privacy Analyst Evaluation'!$A$46:$F$120,2,0),""))</f>
        <v/>
      </c>
      <c r="K87" s="209" t="str">
        <f>IFERROR(VLOOKUP($I87,'Institution Evaluation'!$A$55:$F$345,3,0),IFERROR(VLOOKUP($I87,'Privacy Analyst Evaluation'!$A$46:$F$120,3,0),""))&amp;""</f>
        <v/>
      </c>
      <c r="L87" s="209" t="str">
        <f>IFERROR(VLOOKUP($I87,'Institution Evaluation'!$A$55:$F$345,4,0),IFERROR(VLOOKUP($I87,'Privacy Analyst Evaluation'!$A$46:$F$120,4,0),""))&amp;""</f>
        <v/>
      </c>
      <c r="M87" s="209" t="str">
        <f>IFERROR(VLOOKUP($I87,'Institution Evaluation'!$A$55:$F$345,6,0),IFERROR(VLOOKUP($I87,'Privacy Analyst Evaluation'!$A$46:$F$120,6,0),""))&amp;""</f>
        <v/>
      </c>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row>
    <row r="88" spans="1:338" ht="409.6" x14ac:dyDescent="0.3">
      <c r="A88" s="209">
        <f>IFERROR(IF($A87+1&gt;'(backend scoring)'!$T$335,"",$A87+1),"")</f>
        <v>64</v>
      </c>
      <c r="B88" s="209" t="str">
        <f>_xlfn.XLOOKUP($A88,'(backend scoring)'!$V$2:$V$333,'(backend scoring)'!$A$2:$A$333,"")</f>
        <v>PTHP-01</v>
      </c>
      <c r="C88" s="209" t="str">
        <f>IFERROR(VLOOKUP($B88,'Institution Evaluation'!$A$55:$F$345,2,0),IFERROR(VLOOKUP($B88,'Privacy Analyst Evaluation'!$A$46:$F$120,2,0),""))&amp;""</f>
        <v>Do you have contractual agreements with third parties that require them to maintain standards and to comply with all regulatory requirements?*</v>
      </c>
      <c r="D88" s="209" t="str">
        <f>IFERROR(VLOOKUP($B88,'Institution Evaluation'!$A$55:$F$345,3,0),IFERROR(VLOOKUP($B88,'Privacy Analyst Evaluation'!$A$46:$F$120,3,0),""))&amp;""</f>
        <v>Yes</v>
      </c>
      <c r="E88" s="209" t="str">
        <f>IFERROR(VLOOKUP($B88,'Institution Evaluation'!$A$55:$F$345,4,0),IFERROR(VLOOKUP($B88,'Privacy Analyst Evaluation'!$A$46:$F$120,4,0),""))&amp;""</f>
        <v>Cursive maintains contractual agreements with all subprocessors that have any access to Cursive infrastructure or institutional data flows (AWS, Brain-Station 23 in Bangladesh, AWS engineering contractor in India, Tech Worm LLC in UAE, Google Workspace, GitHub, Linear, Bitwarden, KnowBe4, Checkr, The Hanover). Subprocessor agreements include NDA terms, data-use limitations, confidentiality obligations, and (for offshore engineering subprocessors) explicit terms restricting access to non-production environments and prohibiting use of institutional client data in any model training. Subprocessor selection per the Cursive Vendor Management Policy prioritizes vendors that maintain industry attestations (SOC 2 Type 2, ISO 27001) and clearly published policies supporting enterprise-level security and privacy practices. Compliance is verified at engagement and reviewed annually per the Cursive Compliance Policy and Procedure Review Calendar.</v>
      </c>
      <c r="F88" s="209" t="str">
        <f>IFERROR(VLOOKUP($B88,'Institution Evaluation'!$A$55:$F$345,6,0),IFERROR(VLOOKUP($B88,'Privacy Analyst Evaluation'!$A$46:$F$120,6,0),""))&amp;""</f>
        <v/>
      </c>
      <c r="G88" s="210"/>
      <c r="H88" s="209" t="str">
        <f>IFERROR(IF($H87+1&gt;'(backend scoring)'!$Q$335,"",$H87+1),"")</f>
        <v/>
      </c>
      <c r="I88" s="209" t="str">
        <f>_xlfn.XLOOKUP($H88,'(backend scoring)'!$S$2:$S$333,'(backend scoring)'!$A$2:$A$333,"")</f>
        <v/>
      </c>
      <c r="J88" s="209" t="str">
        <f>IFERROR(VLOOKUP($I88,'Institution Evaluation'!$A$55:$F$345,2,0),IFERROR(VLOOKUP($I88,'Privacy Analyst Evaluation'!$A$46:$F$120,2,0),""))</f>
        <v/>
      </c>
      <c r="K88" s="209" t="str">
        <f>IFERROR(VLOOKUP($I88,'Institution Evaluation'!$A$55:$F$345,3,0),IFERROR(VLOOKUP($I88,'Privacy Analyst Evaluation'!$A$46:$F$120,3,0),""))&amp;""</f>
        <v/>
      </c>
      <c r="L88" s="209" t="str">
        <f>IFERROR(VLOOKUP($I88,'Institution Evaluation'!$A$55:$F$345,4,0),IFERROR(VLOOKUP($I88,'Privacy Analyst Evaluation'!$A$46:$F$120,4,0),""))&amp;""</f>
        <v/>
      </c>
      <c r="M88" s="209" t="str">
        <f>IFERROR(VLOOKUP($I88,'Institution Evaluation'!$A$55:$F$345,6,0),IFERROR(VLOOKUP($I88,'Privacy Analyst Evaluation'!$A$46:$F$120,6,0),""))&amp;""</f>
        <v/>
      </c>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row>
    <row r="89" spans="1:338" ht="324" x14ac:dyDescent="0.3">
      <c r="A89" s="209">
        <f>IFERROR(IF($A88+1&gt;'(backend scoring)'!$T$335,"",$A88+1),"")</f>
        <v>65</v>
      </c>
      <c r="B89" s="209" t="str">
        <f>_xlfn.XLOOKUP($A89,'(backend scoring)'!$V$2:$V$333,'(backend scoring)'!$A$2:$A$333,"")</f>
        <v>PDAT-01</v>
      </c>
      <c r="C89" s="209" t="str">
        <f>IFERROR(VLOOKUP($B89,'Institution Evaluation'!$A$55:$F$345,2,0),IFERROR(VLOOKUP($B89,'Privacy Analyst Evaluation'!$A$46:$F$120,2,0),""))&amp;""</f>
        <v>Do you collect, process, or store demographic information?*</v>
      </c>
      <c r="D89" s="209" t="str">
        <f>IFERROR(VLOOKUP($B89,'Institution Evaluation'!$A$55:$F$345,3,0),IFERROR(VLOOKUP($B89,'Privacy Analyst Evaluation'!$A$46:$F$120,3,0),""))&amp;""</f>
        <v>No</v>
      </c>
      <c r="E89" s="209" t="str">
        <f>IFERROR(VLOOKUP($B89,'Institution Evaluation'!$A$55:$F$345,4,0),IFERROR(VLOOKUP($B89,'Privacy Analyst Evaluation'!$A$46:$F$120,4,0),""))&amp;""</f>
        <v>Cursive does not collect, process, or store demographic information about end users (students or instructors). No race, ethnicity, gender, age, disability status, national origin, language, or socioeconomic data is collected. The data inventory is limited to writing process telemetry (canvas activity, pastes, final text, keystroke timing), an opaque LMS-issued UUID, and/or user type to manage onboarding — no demographic fields are collected by Cursive.</v>
      </c>
      <c r="F89" s="209" t="str">
        <f>IFERROR(VLOOKUP($B89,'Institution Evaluation'!$A$55:$F$345,6,0),IFERROR(VLOOKUP($B89,'Privacy Analyst Evaluation'!$A$46:$F$120,6,0),""))&amp;""</f>
        <v/>
      </c>
      <c r="G89" s="210"/>
      <c r="H89" s="209" t="str">
        <f>IFERROR(IF($H88+1&gt;'(backend scoring)'!$Q$335,"",$H88+1),"")</f>
        <v/>
      </c>
      <c r="I89" s="209" t="str">
        <f>_xlfn.XLOOKUP($H89,'(backend scoring)'!$S$2:$S$333,'(backend scoring)'!$A$2:$A$333,"")</f>
        <v/>
      </c>
      <c r="J89" s="209" t="str">
        <f>IFERROR(VLOOKUP($I89,'Institution Evaluation'!$A$55:$F$345,2,0),IFERROR(VLOOKUP($I89,'Privacy Analyst Evaluation'!$A$46:$F$120,2,0),""))</f>
        <v/>
      </c>
      <c r="K89" s="209" t="str">
        <f>IFERROR(VLOOKUP($I89,'Institution Evaluation'!$A$55:$F$345,3,0),IFERROR(VLOOKUP($I89,'Privacy Analyst Evaluation'!$A$46:$F$120,3,0),""))&amp;""</f>
        <v/>
      </c>
      <c r="L89" s="209" t="str">
        <f>IFERROR(VLOOKUP($I89,'Institution Evaluation'!$A$55:$F$345,4,0),IFERROR(VLOOKUP($I89,'Privacy Analyst Evaluation'!$A$46:$F$120,4,0),""))&amp;""</f>
        <v/>
      </c>
      <c r="M89" s="209" t="str">
        <f>IFERROR(VLOOKUP($I89,'Institution Evaluation'!$A$55:$F$345,6,0),IFERROR(VLOOKUP($I89,'Privacy Analyst Evaluation'!$A$46:$F$120,6,0),""))&amp;""</f>
        <v/>
      </c>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row>
    <row r="90" spans="1:338" ht="409.6" x14ac:dyDescent="0.3">
      <c r="A90" s="209">
        <f>IFERROR(IF($A89+1&gt;'(backend scoring)'!$T$335,"",$A89+1),"")</f>
        <v>66</v>
      </c>
      <c r="B90" s="209" t="str">
        <f>_xlfn.XLOOKUP($A90,'(backend scoring)'!$V$2:$V$333,'(backend scoring)'!$A$2:$A$333,"")</f>
        <v>PDAT-02</v>
      </c>
      <c r="C90" s="209" t="str">
        <f>IFERROR(VLOOKUP($B90,'Institution Evaluation'!$A$55:$F$345,2,0),IFERROR(VLOOKUP($B90,'Privacy Analyst Evaluation'!$A$46:$F$120,2,0),""))&amp;""</f>
        <v>Do you capture or create genetic, biometric, or behaviometric information (e.g., facial recognition or fingerprints)?*</v>
      </c>
      <c r="D90" s="209" t="str">
        <f>IFERROR(VLOOKUP($B90,'Institution Evaluation'!$A$55:$F$345,3,0),IFERROR(VLOOKUP($B90,'Privacy Analyst Evaluation'!$A$46:$F$120,3,0),""))&amp;""</f>
        <v>Yes</v>
      </c>
      <c r="E90" s="209" t="str">
        <f>IFERROR(VLOOKUP($B90,'Institution Evaluation'!$A$55:$F$345,4,0),IFERROR(VLOOKUP($B90,'Privacy Analyst Evaluation'!$A$46:$F$120,4,0),""))&amp;""</f>
        <v>Cursive captures behaviometric (typing-biometric) information as the foundation of the TypeID service. Specifically, keystroke timing data — including dwell time, flight time, and typing rhythm patterns — is collected during the writing session and used by the proprietary Keyread model to perform authorship verification. No genetic data, facial recognition, fingerprint capture, voice biometrics, or other physiological biometrics are collected. Behaviometric data is tied to an opaque LMS-issued UUID (no name, email, or other directly identifying information is associated with the keystroke telemetry by Cursive). Treatment of behaviometric data is described in the Privacy Policy at https://cursivetechnology.com/privacy-policy/, including the local-first storage model, transient server-side processing (raw telemetry deleted after authorship-payload generation), and default opt-out from any model-training use.</v>
      </c>
      <c r="F90" s="209" t="str">
        <f>IFERROR(VLOOKUP($B90,'Institution Evaluation'!$A$55:$F$345,6,0),IFERROR(VLOOKUP($B90,'Privacy Analyst Evaluation'!$A$46:$F$120,6,0),""))&amp;""</f>
        <v/>
      </c>
      <c r="G90" s="210"/>
      <c r="H90" s="209" t="str">
        <f>IFERROR(IF($H89+1&gt;'(backend scoring)'!$Q$335,"",$H89+1),"")</f>
        <v/>
      </c>
      <c r="I90" s="209" t="str">
        <f>_xlfn.XLOOKUP($H90,'(backend scoring)'!$S$2:$S$333,'(backend scoring)'!$A$2:$A$333,"")</f>
        <v/>
      </c>
      <c r="J90" s="209" t="str">
        <f>IFERROR(VLOOKUP($I90,'Institution Evaluation'!$A$55:$F$345,2,0),IFERROR(VLOOKUP($I90,'Privacy Analyst Evaluation'!$A$46:$F$120,2,0),""))</f>
        <v/>
      </c>
      <c r="K90" s="209" t="str">
        <f>IFERROR(VLOOKUP($I90,'Institution Evaluation'!$A$55:$F$345,3,0),IFERROR(VLOOKUP($I90,'Privacy Analyst Evaluation'!$A$46:$F$120,3,0),""))&amp;""</f>
        <v/>
      </c>
      <c r="L90" s="209" t="str">
        <f>IFERROR(VLOOKUP($I90,'Institution Evaluation'!$A$55:$F$345,4,0),IFERROR(VLOOKUP($I90,'Privacy Analyst Evaluation'!$A$46:$F$120,4,0),""))&amp;""</f>
        <v/>
      </c>
      <c r="M90" s="209" t="str">
        <f>IFERROR(VLOOKUP($I90,'Institution Evaluation'!$A$55:$F$345,6,0),IFERROR(VLOOKUP($I90,'Privacy Analyst Evaluation'!$A$46:$F$120,6,0),""))&amp;""</f>
        <v/>
      </c>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row>
    <row r="91" spans="1:338" ht="324" x14ac:dyDescent="0.3">
      <c r="A91" s="209">
        <f>IFERROR(IF($A90+1&gt;'(backend scoring)'!$T$335,"",$A90+1),"")</f>
        <v>67</v>
      </c>
      <c r="B91" s="209" t="str">
        <f>_xlfn.XLOOKUP($A91,'(backend scoring)'!$V$2:$V$333,'(backend scoring)'!$A$2:$A$333,"")</f>
        <v>PDAT-03</v>
      </c>
      <c r="C91" s="209" t="str">
        <f>IFERROR(VLOOKUP($B91,'Institution Evaluation'!$A$55:$F$345,2,0),IFERROR(VLOOKUP($B91,'Privacy Analyst Evaluation'!$A$46:$F$120,2,0),""))&amp;""</f>
        <v>Do you combine institutional data (including "de-identified," "anonymized," or otherwise masked data) with personal data from any other sources?*</v>
      </c>
      <c r="D91" s="209" t="str">
        <f>IFERROR(VLOOKUP($B91,'Institution Evaluation'!$A$55:$F$345,3,0),IFERROR(VLOOKUP($B91,'Privacy Analyst Evaluation'!$A$46:$F$120,3,0),""))&amp;""</f>
        <v>No</v>
      </c>
      <c r="E91" s="209" t="str">
        <f>IFERROR(VLOOKUP($B91,'Institution Evaluation'!$A$55:$F$345,4,0),IFERROR(VLOOKUP($B91,'Privacy Analyst Evaluation'!$A$46:$F$120,4,0),""))&amp;""</f>
        <v>Cursive does not combine institutional data with personal data from any other source. The Keyread and Copy-behavior models operate exclusively on writing process telemetry generated within the institutional LMS context, tied to the LMS-issued UUID. No external data sources (data brokers, public records, social media, marketing databases, third-party identity providers) are used to enrich, augment, or join with institutional data.</v>
      </c>
      <c r="F91" s="209" t="str">
        <f>IFERROR(VLOOKUP($B91,'Institution Evaluation'!$A$55:$F$345,6,0),IFERROR(VLOOKUP($B91,'Privacy Analyst Evaluation'!$A$46:$F$120,6,0),""))&amp;""</f>
        <v/>
      </c>
      <c r="G91" s="210"/>
      <c r="H91" s="209" t="str">
        <f>IFERROR(IF($H90+1&gt;'(backend scoring)'!$Q$335,"",$H90+1),"")</f>
        <v/>
      </c>
      <c r="I91" s="209" t="str">
        <f>_xlfn.XLOOKUP($H91,'(backend scoring)'!$S$2:$S$333,'(backend scoring)'!$A$2:$A$333,"")</f>
        <v/>
      </c>
      <c r="J91" s="209" t="str">
        <f>IFERROR(VLOOKUP($I91,'Institution Evaluation'!$A$55:$F$345,2,0),IFERROR(VLOOKUP($I91,'Privacy Analyst Evaluation'!$A$46:$F$120,2,0),""))</f>
        <v/>
      </c>
      <c r="K91" s="209" t="str">
        <f>IFERROR(VLOOKUP($I91,'Institution Evaluation'!$A$55:$F$345,3,0),IFERROR(VLOOKUP($I91,'Privacy Analyst Evaluation'!$A$46:$F$120,3,0),""))&amp;""</f>
        <v/>
      </c>
      <c r="L91" s="209" t="str">
        <f>IFERROR(VLOOKUP($I91,'Institution Evaluation'!$A$55:$F$345,4,0),IFERROR(VLOOKUP($I91,'Privacy Analyst Evaluation'!$A$46:$F$120,4,0),""))&amp;""</f>
        <v/>
      </c>
      <c r="M91" s="209" t="str">
        <f>IFERROR(VLOOKUP($I91,'Institution Evaluation'!$A$55:$F$345,6,0),IFERROR(VLOOKUP($I91,'Privacy Analyst Evaluation'!$A$46:$F$120,6,0),""))&amp;""</f>
        <v/>
      </c>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row>
    <row r="92" spans="1:338" ht="307.8" x14ac:dyDescent="0.3">
      <c r="A92" s="209">
        <f>IFERROR(IF($A91+1&gt;'(backend scoring)'!$T$335,"",$A91+1),"")</f>
        <v>68</v>
      </c>
      <c r="B92" s="209" t="str">
        <f>_xlfn.XLOOKUP($A92,'(backend scoring)'!$V$2:$V$333,'(backend scoring)'!$A$2:$A$333,"")</f>
        <v>PRPO-06</v>
      </c>
      <c r="C92" s="209" t="str">
        <f>IFERROR(VLOOKUP($B92,'Institution Evaluation'!$A$55:$F$345,2,0),IFERROR(VLOOKUP($B92,'Privacy Analyst Evaluation'!$A$46:$F$120,2,0),""))&amp;""</f>
        <v>Do you have a privacy awareness/training program?*</v>
      </c>
      <c r="D92" s="209" t="str">
        <f>IFERROR(VLOOKUP($B92,'Institution Evaluation'!$A$55:$F$345,3,0),IFERROR(VLOOKUP($B92,'Privacy Analyst Evaluation'!$A$46:$F$120,3,0),""))&amp;""</f>
        <v>Yes</v>
      </c>
      <c r="E92" s="209" t="str">
        <f>IFERROR(VLOOKUP($B92,'Institution Evaluation'!$A$55:$F$345,4,0),IFERROR(VLOOKUP($B92,'Privacy Analyst Evaluation'!$A$46:$F$120,4,0),""))&amp;""</f>
        <v>All Cursive employees complete the US Department of Education's "FERPA 201: Data Sharing under FERPA" training during onboarding. Annual privacy and security awareness training is delivered through KnowBe4, which provides audit logs of completion. Privacy posture is also reinforced through review of the Cursive Employee Handbook and Information Security Policies during orientation and annually thereafter.</v>
      </c>
      <c r="F92" s="209" t="str">
        <f>IFERROR(VLOOKUP($B92,'Institution Evaluation'!$A$55:$F$345,6,0),IFERROR(VLOOKUP($B92,'Privacy Analyst Evaluation'!$A$46:$F$120,6,0),""))&amp;""</f>
        <v/>
      </c>
      <c r="G92" s="210"/>
      <c r="H92" s="209" t="str">
        <f>IFERROR(IF($H91+1&gt;'(backend scoring)'!$Q$335,"",$H91+1),"")</f>
        <v/>
      </c>
      <c r="I92" s="209" t="str">
        <f>_xlfn.XLOOKUP($H92,'(backend scoring)'!$S$2:$S$333,'(backend scoring)'!$A$2:$A$333,"")</f>
        <v/>
      </c>
      <c r="J92" s="209" t="str">
        <f>IFERROR(VLOOKUP($I92,'Institution Evaluation'!$A$55:$F$345,2,0),IFERROR(VLOOKUP($I92,'Privacy Analyst Evaluation'!$A$46:$F$120,2,0),""))</f>
        <v/>
      </c>
      <c r="K92" s="209" t="str">
        <f>IFERROR(VLOOKUP($I92,'Institution Evaluation'!$A$55:$F$345,3,0),IFERROR(VLOOKUP($I92,'Privacy Analyst Evaluation'!$A$46:$F$120,3,0),""))&amp;""</f>
        <v/>
      </c>
      <c r="L92" s="209" t="str">
        <f>IFERROR(VLOOKUP($I92,'Institution Evaluation'!$A$55:$F$345,4,0),IFERROR(VLOOKUP($I92,'Privacy Analyst Evaluation'!$A$46:$F$120,4,0),""))&amp;""</f>
        <v/>
      </c>
      <c r="M92" s="209" t="str">
        <f>IFERROR(VLOOKUP($I92,'Institution Evaluation'!$A$55:$F$345,6,0),IFERROR(VLOOKUP($I92,'Privacy Analyst Evaluation'!$A$46:$F$120,6,0),""))&amp;""</f>
        <v/>
      </c>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row>
    <row r="93" spans="1:338" ht="162" x14ac:dyDescent="0.3">
      <c r="A93" s="209">
        <f>IFERROR(IF($A92+1&gt;'(backend scoring)'!$T$335,"",$A92+1),"")</f>
        <v>69</v>
      </c>
      <c r="B93" s="209" t="str">
        <f>_xlfn.XLOOKUP($A93,'(backend scoring)'!$V$2:$V$333,'(backend scoring)'!$A$2:$A$333,"")</f>
        <v>PRPO-12</v>
      </c>
      <c r="C93" s="209" t="str">
        <f>IFERROR(VLOOKUP($B93,'Institution Evaluation'!$A$55:$F$345,2,0),IFERROR(VLOOKUP($B93,'Privacy Analyst Evaluation'!$A$46:$F$120,2,0),""))&amp;""</f>
        <v>Do you share any institutional data with law enforcement without a valid warrant or subpoena?*</v>
      </c>
      <c r="D93" s="209" t="str">
        <f>IFERROR(VLOOKUP($B93,'Institution Evaluation'!$A$55:$F$345,3,0),IFERROR(VLOOKUP($B93,'Privacy Analyst Evaluation'!$A$46:$F$120,3,0),""))&amp;""</f>
        <v>No</v>
      </c>
      <c r="E93" s="209" t="str">
        <f>IFERROR(VLOOKUP($B93,'Institution Evaluation'!$A$55:$F$345,4,0),IFERROR(VLOOKUP($B93,'Privacy Analyst Evaluation'!$A$46:$F$120,4,0),""))&amp;""</f>
        <v>Cursive does not share institutional data with law enforcement absent a valid warrant, subpoena, or other legally compelled process. Where legally permitted, Cursive will notify the affected institutional customer of any compelled disclosure.</v>
      </c>
      <c r="F93" s="209" t="str">
        <f>IFERROR(VLOOKUP($B93,'Institution Evaluation'!$A$55:$F$345,6,0),IFERROR(VLOOKUP($B93,'Privacy Analyst Evaluation'!$A$46:$F$120,6,0),""))&amp;""</f>
        <v/>
      </c>
      <c r="G93" s="210"/>
      <c r="H93" s="209" t="str">
        <f>IFERROR(IF($H92+1&gt;'(backend scoring)'!$Q$335,"",$H92+1),"")</f>
        <v/>
      </c>
      <c r="I93" s="209" t="str">
        <f>_xlfn.XLOOKUP($H93,'(backend scoring)'!$S$2:$S$333,'(backend scoring)'!$A$2:$A$333,"")</f>
        <v/>
      </c>
      <c r="J93" s="209" t="str">
        <f>IFERROR(VLOOKUP($I93,'Institution Evaluation'!$A$55:$F$345,2,0),IFERROR(VLOOKUP($I93,'Privacy Analyst Evaluation'!$A$46:$F$120,2,0),""))</f>
        <v/>
      </c>
      <c r="K93" s="209" t="str">
        <f>IFERROR(VLOOKUP($I93,'Institution Evaluation'!$A$55:$F$345,3,0),IFERROR(VLOOKUP($I93,'Privacy Analyst Evaluation'!$A$46:$F$120,3,0),""))&amp;""</f>
        <v/>
      </c>
      <c r="L93" s="209" t="str">
        <f>IFERROR(VLOOKUP($I93,'Institution Evaluation'!$A$55:$F$345,4,0),IFERROR(VLOOKUP($I93,'Privacy Analyst Evaluation'!$A$46:$F$120,4,0),""))&amp;""</f>
        <v/>
      </c>
      <c r="M93" s="209" t="str">
        <f>IFERROR(VLOOKUP($I93,'Institution Evaluation'!$A$55:$F$345,6,0),IFERROR(VLOOKUP($I93,'Privacy Analyst Evaluation'!$A$46:$F$120,6,0),""))&amp;""</f>
        <v/>
      </c>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row>
    <row r="94" spans="1:338" ht="409.6" x14ac:dyDescent="0.3">
      <c r="A94" s="209">
        <f>IFERROR(IF($A93+1&gt;'(backend scoring)'!$T$335,"",$A93+1),"")</f>
        <v>70</v>
      </c>
      <c r="B94" s="209" t="str">
        <f>_xlfn.XLOOKUP($A94,'(backend scoring)'!$V$2:$V$333,'(backend scoring)'!$A$2:$A$333,"")</f>
        <v>DPAI-02</v>
      </c>
      <c r="C94" s="209" t="str">
        <f>IFERROR(VLOOKUP($B94,'Institution Evaluation'!$A$55:$F$345,2,0),IFERROR(VLOOKUP($B94,'Privacy Analyst Evaluation'!$A$46:$F$120,2,0),""))&amp;""</f>
        <v>Is any institutional data retained in AI processing?*</v>
      </c>
      <c r="D94" s="209" t="str">
        <f>IFERROR(VLOOKUP($B94,'Institution Evaluation'!$A$55:$F$345,3,0),IFERROR(VLOOKUP($B94,'Privacy Analyst Evaluation'!$A$46:$F$120,3,0),""))&amp;""</f>
        <v>Yes</v>
      </c>
      <c r="E94" s="209" t="str">
        <f>IFERROR(VLOOKUP($B94,'Institution Evaluation'!$A$55:$F$345,4,0),IFERROR(VLOOKUP($B94,'Privacy Analyst Evaluation'!$A$46:$F$120,4,0),""))&amp;""</f>
        <v>Raw keystroke telemetry submitted to the inference API is processed transiently and deleted after authorship-payload generation. The processed authorship payload (model output and supporting feature data, tied to the LMS UUID) is retained per the documented retention practices in PRIV-08. By default, no institutional data is used to train, fine-tune, or improve the production models — training operates exclusively on Cursive-owned datasets validated against a diverse undergraduate population at the University of Maryland, Mechanical Turk, India-based contractors, friends and family, and volunteers. Any deviation from this default requires written contractual agreement with the institution.</v>
      </c>
      <c r="F94" s="209" t="str">
        <f>IFERROR(VLOOKUP($B94,'Institution Evaluation'!$A$55:$F$345,6,0),IFERROR(VLOOKUP($B94,'Privacy Analyst Evaluation'!$A$46:$F$120,6,0),""))&amp;""</f>
        <v/>
      </c>
      <c r="G94" s="210"/>
      <c r="H94" s="209" t="str">
        <f>IFERROR(IF($H93+1&gt;'(backend scoring)'!$Q$335,"",$H93+1),"")</f>
        <v/>
      </c>
      <c r="I94" s="209" t="str">
        <f>_xlfn.XLOOKUP($H94,'(backend scoring)'!$S$2:$S$333,'(backend scoring)'!$A$2:$A$333,"")</f>
        <v/>
      </c>
      <c r="J94" s="209" t="str">
        <f>IFERROR(VLOOKUP($I94,'Institution Evaluation'!$A$55:$F$345,2,0),IFERROR(VLOOKUP($I94,'Privacy Analyst Evaluation'!$A$46:$F$120,2,0),""))</f>
        <v/>
      </c>
      <c r="K94" s="209" t="str">
        <f>IFERROR(VLOOKUP($I94,'Institution Evaluation'!$A$55:$F$345,3,0),IFERROR(VLOOKUP($I94,'Privacy Analyst Evaluation'!$A$46:$F$120,3,0),""))&amp;""</f>
        <v/>
      </c>
      <c r="L94" s="209" t="str">
        <f>IFERROR(VLOOKUP($I94,'Institution Evaluation'!$A$55:$F$345,4,0),IFERROR(VLOOKUP($I94,'Privacy Analyst Evaluation'!$A$46:$F$120,4,0),""))&amp;""</f>
        <v/>
      </c>
      <c r="M94" s="209" t="str">
        <f>IFERROR(VLOOKUP($I94,'Institution Evaluation'!$A$55:$F$345,6,0),IFERROR(VLOOKUP($I94,'Privacy Analyst Evaluation'!$A$46:$F$120,6,0),""))&amp;""</f>
        <v/>
      </c>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row>
    <row r="95" spans="1:338" ht="409.6" x14ac:dyDescent="0.3">
      <c r="A95" s="209">
        <f>IFERROR(IF($A94+1&gt;'(backend scoring)'!$T$335,"",$A94+1),"")</f>
        <v>71</v>
      </c>
      <c r="B95" s="209" t="str">
        <f>_xlfn.XLOOKUP($A95,'(backend scoring)'!$V$2:$V$333,'(backend scoring)'!$A$2:$A$333,"")</f>
        <v>DPAI-03</v>
      </c>
      <c r="C95" s="209" t="str">
        <f>IFERROR(VLOOKUP($B95,'Institution Evaluation'!$A$55:$F$345,2,0),IFERROR(VLOOKUP($B95,'Privacy Analyst Evaluation'!$A$46:$F$120,2,0),""))&amp;""</f>
        <v>Do you have agreements in place with third parties or subprocessors regarding the protection of customer data and use of AI?*</v>
      </c>
      <c r="D95" s="209" t="str">
        <f>IFERROR(VLOOKUP($B95,'Institution Evaluation'!$A$55:$F$345,3,0),IFERROR(VLOOKUP($B95,'Privacy Analyst Evaluation'!$A$46:$F$120,3,0),""))&amp;""</f>
        <v>Yes</v>
      </c>
      <c r="E95" s="209" t="str">
        <f>IFERROR(VLOOKUP($B95,'Institution Evaluation'!$A$55:$F$345,4,0),IFERROR(VLOOKUP($B95,'Privacy Analyst Evaluation'!$A$46:$F$120,4,0),""))&amp;""</f>
        <v>Cursive's production AI processing is performed entirely on Cursive-owned proprietary models (Keyread, Copy-behavior). No third-party AI service or LLM API receives institutional data in production. Subprocessor agreements with parties that have any access to Cursive infrastructure (AWS, Brain-Station 23, Tech Worm LLC, AWS engineering contractor) include NDA terms, data-use limitations, and access scoped via AWS IAM least-privilege; AI-specific contractual terms are incorporated where relevant (e.g., Tech Worm LLC engagement explicitly excludes use of institutional client data in model training).</v>
      </c>
      <c r="F95" s="209" t="str">
        <f>IFERROR(VLOOKUP($B95,'Institution Evaluation'!$A$55:$F$345,6,0),IFERROR(VLOOKUP($B95,'Privacy Analyst Evaluation'!$A$46:$F$120,6,0),""))&amp;""</f>
        <v/>
      </c>
      <c r="G95" s="210"/>
      <c r="H95" s="209" t="str">
        <f>IFERROR(IF($H94+1&gt;'(backend scoring)'!$Q$335,"",$H94+1),"")</f>
        <v/>
      </c>
      <c r="I95" s="209" t="str">
        <f>_xlfn.XLOOKUP($H95,'(backend scoring)'!$S$2:$S$333,'(backend scoring)'!$A$2:$A$333,"")</f>
        <v/>
      </c>
      <c r="J95" s="209" t="str">
        <f>IFERROR(VLOOKUP($I95,'Institution Evaluation'!$A$55:$F$345,2,0),IFERROR(VLOOKUP($I95,'Privacy Analyst Evaluation'!$A$46:$F$120,2,0),""))</f>
        <v/>
      </c>
      <c r="K95" s="209" t="str">
        <f>IFERROR(VLOOKUP($I95,'Institution Evaluation'!$A$55:$F$345,3,0),IFERROR(VLOOKUP($I95,'Privacy Analyst Evaluation'!$A$46:$F$120,3,0),""))&amp;""</f>
        <v/>
      </c>
      <c r="L95" s="209" t="str">
        <f>IFERROR(VLOOKUP($I95,'Institution Evaluation'!$A$55:$F$345,4,0),IFERROR(VLOOKUP($I95,'Privacy Analyst Evaluation'!$A$46:$F$120,4,0),""))&amp;""</f>
        <v/>
      </c>
      <c r="M95" s="209" t="str">
        <f>IFERROR(VLOOKUP($I95,'Institution Evaluation'!$A$55:$F$345,6,0),IFERROR(VLOOKUP($I95,'Privacy Analyst Evaluation'!$A$46:$F$120,6,0),""))&amp;""</f>
        <v/>
      </c>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row>
    <row r="96" spans="1:338" ht="409.6" x14ac:dyDescent="0.3">
      <c r="A96" s="209">
        <f>IFERROR(IF($A95+1&gt;'(backend scoring)'!$T$335,"",$A95+1),"")</f>
        <v>72</v>
      </c>
      <c r="B96" s="209" t="str">
        <f>_xlfn.XLOOKUP($A96,'(backend scoring)'!$V$2:$V$333,'(backend scoring)'!$A$2:$A$333,"")</f>
        <v>AIGN-01</v>
      </c>
      <c r="C96" s="209" t="str">
        <f>IFERROR(VLOOKUP($B96,'Institution Evaluation'!$A$55:$F$345,2,0),IFERROR(VLOOKUP($B96,'Privacy Analyst Evaluation'!$A$46:$F$120,2,0),""))&amp;""</f>
        <v>Does your solution have an AI risk model when developing or implementing your solution's AI model?*</v>
      </c>
      <c r="D96" s="209" t="str">
        <f>IFERROR(VLOOKUP($B96,'Institution Evaluation'!$A$55:$F$345,3,0),IFERROR(VLOOKUP($B96,'Privacy Analyst Evaluation'!$A$46:$F$120,3,0),""))&amp;""</f>
        <v>No</v>
      </c>
      <c r="E96" s="209" t="str">
        <f>IFERROR(VLOOKUP($B96,'Institution Evaluation'!$A$55:$F$345,4,0),IFERROR(VLOOKUP($B96,'Privacy Analyst Evaluation'!$A$46:$F$120,4,0),""))&amp;""</f>
        <v>Cursive does not yet maintain a formal documented AI risk model for the development and implementation of the Keyread and Copy-behavior models. Risk considerations are embedded in the SDLC and Security Impact Analysis processes, and the constrained classifier architecture (proprietary models with bounded input/output, no third-party LLM, no generative AI) materially limits the AI risk surface relative to LLM-based services. A formal AI risk model aligned with the NIST AI RMF (AI 600-1) is on the AI governance roadmap alongside the AI Governance Policy and Model Registry work scoped for completion in 2026.</v>
      </c>
      <c r="F96" s="209" t="str">
        <f>IFERROR(VLOOKUP($B96,'Institution Evaluation'!$A$55:$F$345,6,0),IFERROR(VLOOKUP($B96,'Privacy Analyst Evaluation'!$A$46:$F$120,6,0),""))&amp;""</f>
        <v/>
      </c>
      <c r="G96" s="210"/>
      <c r="H96" s="209" t="str">
        <f>IFERROR(IF($H95+1&gt;'(backend scoring)'!$Q$335,"",$H95+1),"")</f>
        <v/>
      </c>
      <c r="I96" s="209" t="str">
        <f>_xlfn.XLOOKUP($H96,'(backend scoring)'!$S$2:$S$333,'(backend scoring)'!$A$2:$A$333,"")</f>
        <v/>
      </c>
      <c r="J96" s="209" t="str">
        <f>IFERROR(VLOOKUP($I96,'Institution Evaluation'!$A$55:$F$345,2,0),IFERROR(VLOOKUP($I96,'Privacy Analyst Evaluation'!$A$46:$F$120,2,0),""))</f>
        <v/>
      </c>
      <c r="K96" s="209" t="str">
        <f>IFERROR(VLOOKUP($I96,'Institution Evaluation'!$A$55:$F$345,3,0),IFERROR(VLOOKUP($I96,'Privacy Analyst Evaluation'!$A$46:$F$120,3,0),""))&amp;""</f>
        <v/>
      </c>
      <c r="L96" s="209" t="str">
        <f>IFERROR(VLOOKUP($I96,'Institution Evaluation'!$A$55:$F$345,4,0),IFERROR(VLOOKUP($I96,'Privacy Analyst Evaluation'!$A$46:$F$120,4,0),""))&amp;""</f>
        <v/>
      </c>
      <c r="M96" s="209" t="str">
        <f>IFERROR(VLOOKUP($I96,'Institution Evaluation'!$A$55:$F$345,6,0),IFERROR(VLOOKUP($I96,'Privacy Analyst Evaluation'!$A$46:$F$120,6,0),""))&amp;""</f>
        <v/>
      </c>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row>
    <row r="97" spans="1:338" ht="409.6" x14ac:dyDescent="0.3">
      <c r="A97" s="209">
        <f>IFERROR(IF($A96+1&gt;'(backend scoring)'!$T$335,"",$A96+1),"")</f>
        <v>73</v>
      </c>
      <c r="B97" s="209" t="str">
        <f>_xlfn.XLOOKUP($A97,'(backend scoring)'!$V$2:$V$333,'(backend scoring)'!$A$2:$A$333,"")</f>
        <v>AIGN-02</v>
      </c>
      <c r="C97" s="209" t="str">
        <f>IFERROR(VLOOKUP($B97,'Institution Evaluation'!$A$55:$F$345,2,0),IFERROR(VLOOKUP($B97,'Privacy Analyst Evaluation'!$A$46:$F$120,2,0),""))&amp;""</f>
        <v>Can your solution's AI features be disabled by tenant and/or user?*</v>
      </c>
      <c r="D97" s="209" t="str">
        <f>IFERROR(VLOOKUP($B97,'Institution Evaluation'!$A$55:$F$345,3,0),IFERROR(VLOOKUP($B97,'Privacy Analyst Evaluation'!$A$46:$F$120,3,0),""))&amp;""</f>
        <v>No</v>
      </c>
      <c r="E97" s="209" t="str">
        <f>IFERROR(VLOOKUP($B97,'Institution Evaluation'!$A$55:$F$345,4,0),IFERROR(VLOOKUP($B97,'Privacy Analyst Evaluation'!$A$46:$F$120,4,0),""))&amp;""</f>
        <v xml:space="preserve">Partial - AI features can be disabled at the tenant level — institutions can disable TypeID at the LMS plugin level (Moodle) or remove the LTI integration, which fully disables AI processing for that tenant. Granular per-user opt-out at the AI-feature level is constrained by the architecture: AI-based authorship verification is intrinsic to TypeID (the service is fundamentally AI-driven), so user-level disabling of AI is functionally equivalent to user-level disabling of the service. Where institutions elect to provide individual student opt-out, that is implemented by the institution removing the affected user from TypeID enrollment within the LMS (consistent with DPAI-08). Institutions are welcome to use our AI/ML-free versions. </v>
      </c>
      <c r="F97" s="209" t="str">
        <f>IFERROR(VLOOKUP($B97,'Institution Evaluation'!$A$55:$F$345,6,0),IFERROR(VLOOKUP($B97,'Privacy Analyst Evaluation'!$A$46:$F$120,6,0),""))&amp;""</f>
        <v/>
      </c>
      <c r="G97" s="210"/>
      <c r="H97" s="209" t="str">
        <f>IFERROR(IF($H96+1&gt;'(backend scoring)'!$Q$335,"",$H96+1),"")</f>
        <v/>
      </c>
      <c r="I97" s="209" t="str">
        <f>_xlfn.XLOOKUP($H97,'(backend scoring)'!$S$2:$S$333,'(backend scoring)'!$A$2:$A$333,"")</f>
        <v/>
      </c>
      <c r="J97" s="209" t="str">
        <f>IFERROR(VLOOKUP($I97,'Institution Evaluation'!$A$55:$F$345,2,0),IFERROR(VLOOKUP($I97,'Privacy Analyst Evaluation'!$A$46:$F$120,2,0),""))</f>
        <v/>
      </c>
      <c r="K97" s="209" t="str">
        <f>IFERROR(VLOOKUP($I97,'Institution Evaluation'!$A$55:$F$345,3,0),IFERROR(VLOOKUP($I97,'Privacy Analyst Evaluation'!$A$46:$F$120,3,0),""))&amp;""</f>
        <v/>
      </c>
      <c r="L97" s="209" t="str">
        <f>IFERROR(VLOOKUP($I97,'Institution Evaluation'!$A$55:$F$345,4,0),IFERROR(VLOOKUP($I97,'Privacy Analyst Evaluation'!$A$46:$F$120,4,0),""))&amp;""</f>
        <v/>
      </c>
      <c r="M97" s="209" t="str">
        <f>IFERROR(VLOOKUP($I97,'Institution Evaluation'!$A$55:$F$345,6,0),IFERROR(VLOOKUP($I97,'Privacy Analyst Evaluation'!$A$46:$F$120,6,0),""))&amp;""</f>
        <v/>
      </c>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row>
    <row r="98" spans="1:338" ht="405" x14ac:dyDescent="0.3">
      <c r="A98" s="209">
        <f>IFERROR(IF($A97+1&gt;'(backend scoring)'!$T$335,"",$A97+1),"")</f>
        <v>74</v>
      </c>
      <c r="B98" s="209" t="str">
        <f>_xlfn.XLOOKUP($A98,'(backend scoring)'!$V$2:$V$333,'(backend scoring)'!$A$2:$A$333,"")</f>
        <v>AIGN-03</v>
      </c>
      <c r="C98" s="209" t="str">
        <f>IFERROR(VLOOKUP($B98,'Institution Evaluation'!$A$55:$F$345,2,0),IFERROR(VLOOKUP($B98,'Privacy Analyst Evaluation'!$A$46:$F$120,2,0),""))&amp;""</f>
        <v>Have your staff completed responsible AI training?*</v>
      </c>
      <c r="D98" s="209" t="str">
        <f>IFERROR(VLOOKUP($B98,'Institution Evaluation'!$A$55:$F$345,3,0),IFERROR(VLOOKUP($B98,'Privacy Analyst Evaluation'!$A$46:$F$120,3,0),""))&amp;""</f>
        <v>No</v>
      </c>
      <c r="E98" s="209" t="str">
        <f>IFERROR(VLOOKUP($B98,'Institution Evaluation'!$A$55:$F$345,4,0),IFERROR(VLOOKUP($B98,'Privacy Analyst Evaluation'!$A$46:$F$120,4,0),""))&amp;""</f>
        <v xml:space="preserve">Staff have not yet completed a standalone "responsible AI" training program. AI ethics, bias considerations, the human-in-the-loop principle for authorship determinations, and data minimization in training datasets are discussed during model and feature design and are embedded in the broader privacy/security awareness training (FERPA 201 + KnowBe4). A standalone responsible AI training module is on the AI governance roadmap; given current company size, a fractional or external responsible AI training program is being evaluated.
</v>
      </c>
      <c r="F98" s="209" t="str">
        <f>IFERROR(VLOOKUP($B98,'Institution Evaluation'!$A$55:$F$345,6,0),IFERROR(VLOOKUP($B98,'Privacy Analyst Evaluation'!$A$46:$F$120,6,0),""))&amp;""</f>
        <v/>
      </c>
      <c r="G98" s="210"/>
      <c r="H98" s="209" t="str">
        <f>IFERROR(IF($H97+1&gt;'(backend scoring)'!$Q$335,"",$H97+1),"")</f>
        <v/>
      </c>
      <c r="I98" s="209" t="str">
        <f>_xlfn.XLOOKUP($H98,'(backend scoring)'!$S$2:$S$333,'(backend scoring)'!$A$2:$A$333,"")</f>
        <v/>
      </c>
      <c r="J98" s="209" t="str">
        <f>IFERROR(VLOOKUP($I98,'Institution Evaluation'!$A$55:$F$345,2,0),IFERROR(VLOOKUP($I98,'Privacy Analyst Evaluation'!$A$46:$F$120,2,0),""))</f>
        <v/>
      </c>
      <c r="K98" s="209" t="str">
        <f>IFERROR(VLOOKUP($I98,'Institution Evaluation'!$A$55:$F$345,3,0),IFERROR(VLOOKUP($I98,'Privacy Analyst Evaluation'!$A$46:$F$120,3,0),""))&amp;""</f>
        <v/>
      </c>
      <c r="L98" s="209" t="str">
        <f>IFERROR(VLOOKUP($I98,'Institution Evaluation'!$A$55:$F$345,4,0),IFERROR(VLOOKUP($I98,'Privacy Analyst Evaluation'!$A$46:$F$120,4,0),""))&amp;""</f>
        <v/>
      </c>
      <c r="M98" s="209" t="str">
        <f>IFERROR(VLOOKUP($I98,'Institution Evaluation'!$A$55:$F$345,6,0),IFERROR(VLOOKUP($I98,'Privacy Analyst Evaluation'!$A$46:$F$120,6,0),""))&amp;""</f>
        <v/>
      </c>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row>
    <row r="99" spans="1:338" ht="356.4" x14ac:dyDescent="0.3">
      <c r="A99" s="209">
        <f>IFERROR(IF($A98+1&gt;'(backend scoring)'!$T$335,"",$A98+1),"")</f>
        <v>75</v>
      </c>
      <c r="B99" s="209" t="str">
        <f>_xlfn.XLOOKUP($A99,'(backend scoring)'!$V$2:$V$333,'(backend scoring)'!$A$2:$A$333,"")</f>
        <v>AIPL-01</v>
      </c>
      <c r="C99" s="209" t="str">
        <f>IFERROR(VLOOKUP($B99,'Institution Evaluation'!$A$55:$F$345,2,0),IFERROR(VLOOKUP($B99,'Privacy Analyst Evaluation'!$A$46:$F$120,2,0),""))&amp;""</f>
        <v>Are your AI developer's policies, processes, procedures, and practices across the organization related to the mapping, measuring, and managing of AI risks conspicuously posted, unambiguous, and implemented effectively?*</v>
      </c>
      <c r="D99" s="209" t="str">
        <f>IFERROR(VLOOKUP($B99,'Institution Evaluation'!$A$55:$F$345,3,0),IFERROR(VLOOKUP($B99,'Privacy Analyst Evaluation'!$A$46:$F$120,3,0),""))&amp;""</f>
        <v>No</v>
      </c>
      <c r="E99" s="209" t="str">
        <f>IFERROR(VLOOKUP($B99,'Institution Evaluation'!$A$55:$F$345,4,0),IFERROR(VLOOKUP($B99,'Privacy Analyst Evaluation'!$A$46:$F$120,4,0),""))&amp;""</f>
        <v>Cursive does not yet maintain documented AI risk-mapping, measurement, and management policies that are conspicuously posted, unambiguous, and effectively implemented across the organization. AI risk considerations are embedded in the SDLC and Security Impact Analysis processes per the Cursive Policies and Procedures, but a standalone published AI Governance Policy aligned with the NIST AI RMF is not yet in place. Formalization of these policies is scoped for the AI governance roadmap.</v>
      </c>
      <c r="F99" s="209" t="str">
        <f>IFERROR(VLOOKUP($B99,'Institution Evaluation'!$A$55:$F$345,6,0),IFERROR(VLOOKUP($B99,'Privacy Analyst Evaluation'!$A$46:$F$120,6,0),""))&amp;""</f>
        <v/>
      </c>
      <c r="G99" s="210"/>
      <c r="H99" s="209" t="str">
        <f>IFERROR(IF($H98+1&gt;'(backend scoring)'!$Q$335,"",$H98+1),"")</f>
        <v/>
      </c>
      <c r="I99" s="209" t="str">
        <f>_xlfn.XLOOKUP($H99,'(backend scoring)'!$S$2:$S$333,'(backend scoring)'!$A$2:$A$333,"")</f>
        <v/>
      </c>
      <c r="J99" s="209" t="str">
        <f>IFERROR(VLOOKUP($I99,'Institution Evaluation'!$A$55:$F$345,2,0),IFERROR(VLOOKUP($I99,'Privacy Analyst Evaluation'!$A$46:$F$120,2,0),""))</f>
        <v/>
      </c>
      <c r="K99" s="209" t="str">
        <f>IFERROR(VLOOKUP($I99,'Institution Evaluation'!$A$55:$F$345,3,0),IFERROR(VLOOKUP($I99,'Privacy Analyst Evaluation'!$A$46:$F$120,3,0),""))&amp;""</f>
        <v/>
      </c>
      <c r="L99" s="209" t="str">
        <f>IFERROR(VLOOKUP($I99,'Institution Evaluation'!$A$55:$F$345,4,0),IFERROR(VLOOKUP($I99,'Privacy Analyst Evaluation'!$A$46:$F$120,4,0),""))&amp;""</f>
        <v/>
      </c>
      <c r="M99" s="209" t="str">
        <f>IFERROR(VLOOKUP($I99,'Institution Evaluation'!$A$55:$F$345,6,0),IFERROR(VLOOKUP($I99,'Privacy Analyst Evaluation'!$A$46:$F$120,6,0),""))&amp;""</f>
        <v/>
      </c>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row>
    <row r="100" spans="1:338" ht="409.6" x14ac:dyDescent="0.3">
      <c r="A100" s="209">
        <f>IFERROR(IF($A99+1&gt;'(backend scoring)'!$T$335,"",$A99+1),"")</f>
        <v>76</v>
      </c>
      <c r="B100" s="209" t="str">
        <f>_xlfn.XLOOKUP($A100,'(backend scoring)'!$V$2:$V$333,'(backend scoring)'!$A$2:$A$333,"")</f>
        <v>AIPL-02</v>
      </c>
      <c r="C100" s="209" t="str">
        <f>IFERROR(VLOOKUP($B100,'Institution Evaluation'!$A$55:$F$345,2,0),IFERROR(VLOOKUP($B100,'Privacy Analyst Evaluation'!$A$46:$F$120,2,0),""))&amp;""</f>
        <v>Have you identified and measured AI risks?*</v>
      </c>
      <c r="D100" s="209" t="str">
        <f>IFERROR(VLOOKUP($B100,'Institution Evaluation'!$A$55:$F$345,3,0),IFERROR(VLOOKUP($B100,'Privacy Analyst Evaluation'!$A$46:$F$120,3,0),""))&amp;""</f>
        <v>No</v>
      </c>
      <c r="E100" s="209" t="str">
        <f>IFERROR(VLOOKUP($B100,'Institution Evaluation'!$A$55:$F$345,4,0),IFERROR(VLOOKUP($B100,'Privacy Analyst Evaluation'!$A$46:$F$120,4,0),""))&amp;""</f>
        <v xml:space="preserve">Partly - Cursive has informally identified the primary AI risks to the TypeID service and has architected the production models in direct response. The two principal adversarial AI risks identified are: (1) generative AI use to defeat authorship verification (the "retype-from-LLM-output" pattern), addressed by the adversarially-trained Copy-behavior model; (2) agentic AI tools attempting to simulate human typing to evade verification, addressed by adversarial training of the Keyread model against typing telemetry collected from agentic AI sources. Formal documented risk identification, measurement methodology, and quantitative risk assessment aligned with the NIST AI RMF is not yet maintained; formalization is on the AI governance roadmap.
</v>
      </c>
      <c r="F100" s="209" t="str">
        <f>IFERROR(VLOOKUP($B100,'Institution Evaluation'!$A$55:$F$345,6,0),IFERROR(VLOOKUP($B100,'Privacy Analyst Evaluation'!$A$46:$F$120,6,0),""))&amp;""</f>
        <v/>
      </c>
      <c r="G100" s="210"/>
      <c r="H100" s="209" t="str">
        <f>IFERROR(IF($H99+1&gt;'(backend scoring)'!$Q$335,"",$H99+1),"")</f>
        <v/>
      </c>
      <c r="I100" s="209" t="str">
        <f>_xlfn.XLOOKUP($H100,'(backend scoring)'!$S$2:$S$333,'(backend scoring)'!$A$2:$A$333,"")</f>
        <v/>
      </c>
      <c r="J100" s="209" t="str">
        <f>IFERROR(VLOOKUP($I100,'Institution Evaluation'!$A$55:$F$345,2,0),IFERROR(VLOOKUP($I100,'Privacy Analyst Evaluation'!$A$46:$F$120,2,0),""))</f>
        <v/>
      </c>
      <c r="K100" s="209" t="str">
        <f>IFERROR(VLOOKUP($I100,'Institution Evaluation'!$A$55:$F$345,3,0),IFERROR(VLOOKUP($I100,'Privacy Analyst Evaluation'!$A$46:$F$120,3,0),""))&amp;""</f>
        <v/>
      </c>
      <c r="L100" s="209" t="str">
        <f>IFERROR(VLOOKUP($I100,'Institution Evaluation'!$A$55:$F$345,4,0),IFERROR(VLOOKUP($I100,'Privacy Analyst Evaluation'!$A$46:$F$120,4,0),""))&amp;""</f>
        <v/>
      </c>
      <c r="M100" s="209" t="str">
        <f>IFERROR(VLOOKUP($I100,'Institution Evaluation'!$A$55:$F$345,6,0),IFERROR(VLOOKUP($I100,'Privacy Analyst Evaluation'!$A$46:$F$120,6,0),""))&amp;""</f>
        <v/>
      </c>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row>
    <row r="101" spans="1:338" ht="409.6" x14ac:dyDescent="0.3">
      <c r="A101" s="209">
        <f>IFERROR(IF($A100+1&gt;'(backend scoring)'!$T$335,"",$A100+1),"")</f>
        <v>77</v>
      </c>
      <c r="B101" s="209" t="str">
        <f>_xlfn.XLOOKUP($A101,'(backend scoring)'!$V$2:$V$333,'(backend scoring)'!$A$2:$A$333,"")</f>
        <v>AIPL-03</v>
      </c>
      <c r="C101" s="209" t="str">
        <f>IFERROR(VLOOKUP($B101,'Institution Evaluation'!$A$55:$F$345,2,0),IFERROR(VLOOKUP($B101,'Privacy Analyst Evaluation'!$A$46:$F$120,2,0),""))&amp;""</f>
        <v>In the event of an incident, can your solution's AI features be disabled in a timely manner?*</v>
      </c>
      <c r="D101" s="209" t="str">
        <f>IFERROR(VLOOKUP($B101,'Institution Evaluation'!$A$55:$F$345,3,0),IFERROR(VLOOKUP($B101,'Privacy Analyst Evaluation'!$A$46:$F$120,3,0),""))&amp;""</f>
        <v>Yes</v>
      </c>
      <c r="E101" s="209" t="str">
        <f>IFERROR(VLOOKUP($B101,'Institution Evaluation'!$A$55:$F$345,4,0),IFERROR(VLOOKUP($B101,'Privacy Analyst Evaluation'!$A$46:$F$120,4,0),""))&amp;""</f>
        <v>In the event of an AI-related incident (e.g., model performance degradation, suspected misuse, adversarial attack on the inference pipeline, or other AI-specific incident requiring response), AI features can be disabled in a timely manner. Disabling mechanisms include: (1) institution-level disablement via the Moodle plugin or LTI integration removal; (2) Cursive-side disablement via inference API rate-limiting, endpoint disablement, or feature flag controls; (3) full service halt via AWS-level operational controls. AI incident response is incorporated into the broader Incident Response Plan in the Cursive Policies and Procedures.</v>
      </c>
      <c r="F101" s="209" t="str">
        <f>IFERROR(VLOOKUP($B101,'Institution Evaluation'!$A$55:$F$345,6,0),IFERROR(VLOOKUP($B101,'Privacy Analyst Evaluation'!$A$46:$F$120,6,0),""))&amp;""</f>
        <v/>
      </c>
      <c r="G101" s="210"/>
      <c r="H101" s="209" t="str">
        <f>IFERROR(IF($H100+1&gt;'(backend scoring)'!$Q$335,"",$H100+1),"")</f>
        <v/>
      </c>
      <c r="I101" s="209" t="str">
        <f>_xlfn.XLOOKUP($H101,'(backend scoring)'!$S$2:$S$333,'(backend scoring)'!$A$2:$A$333,"")</f>
        <v/>
      </c>
      <c r="J101" s="209" t="str">
        <f>IFERROR(VLOOKUP($I101,'Institution Evaluation'!$A$55:$F$345,2,0),IFERROR(VLOOKUP($I101,'Privacy Analyst Evaluation'!$A$46:$F$120,2,0),""))</f>
        <v/>
      </c>
      <c r="K101" s="209" t="str">
        <f>IFERROR(VLOOKUP($I101,'Institution Evaluation'!$A$55:$F$345,3,0),IFERROR(VLOOKUP($I101,'Privacy Analyst Evaluation'!$A$46:$F$120,3,0),""))&amp;""</f>
        <v/>
      </c>
      <c r="L101" s="209" t="str">
        <f>IFERROR(VLOOKUP($I101,'Institution Evaluation'!$A$55:$F$345,4,0),IFERROR(VLOOKUP($I101,'Privacy Analyst Evaluation'!$A$46:$F$120,4,0),""))&amp;""</f>
        <v/>
      </c>
      <c r="M101" s="209" t="str">
        <f>IFERROR(VLOOKUP($I101,'Institution Evaluation'!$A$55:$F$345,6,0),IFERROR(VLOOKUP($I101,'Privacy Analyst Evaluation'!$A$46:$F$120,6,0),""))&amp;""</f>
        <v/>
      </c>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row>
    <row r="102" spans="1:338" ht="388.8" x14ac:dyDescent="0.3">
      <c r="A102" s="209">
        <f>IFERROR(IF($A101+1&gt;'(backend scoring)'!$T$335,"",$A101+1),"")</f>
        <v>78</v>
      </c>
      <c r="B102" s="209" t="str">
        <f>_xlfn.XLOOKUP($A102,'(backend scoring)'!$V$2:$V$333,'(backend scoring)'!$A$2:$A$333,"")</f>
        <v>AIPL-04</v>
      </c>
      <c r="C102" s="209" t="str">
        <f>IFERROR(VLOOKUP($B102,'Institution Evaluation'!$A$55:$F$345,2,0),IFERROR(VLOOKUP($B102,'Privacy Analyst Evaluation'!$A$46:$F$120,2,0),""))&amp;""</f>
        <v>If disabled because of an incident, can your solution's AI features be re-enabled in a timely manner?*</v>
      </c>
      <c r="D102" s="209" t="str">
        <f>IFERROR(VLOOKUP($B102,'Institution Evaluation'!$A$55:$F$345,3,0),IFERROR(VLOOKUP($B102,'Privacy Analyst Evaluation'!$A$46:$F$120,3,0),""))&amp;""</f>
        <v>Yes</v>
      </c>
      <c r="E102" s="209" t="str">
        <f>IFERROR(VLOOKUP($B102,'Institution Evaluation'!$A$55:$F$345,4,0),IFERROR(VLOOKUP($B102,'Privacy Analyst Evaluation'!$A$46:$F$120,4,0),""))&amp;""</f>
        <v>Following AI feature disablement in response to an incident, re-enablement follows the documented incident response and change management process: incident remediation per the severity-based timelines in the Incident Response Plan (Critical: 7 days; High: 30 days; Medium: 60 days; Low: 90 days), Security Impact Analysis of any model or infrastructure changes made during remediation, QA validation, and Founder/CEO approval before re-enablement. Affected institutional customers are notified per the breach notification commitment.</v>
      </c>
      <c r="F102" s="209" t="str">
        <f>IFERROR(VLOOKUP($B102,'Institution Evaluation'!$A$55:$F$345,6,0),IFERROR(VLOOKUP($B102,'Privacy Analyst Evaluation'!$A$46:$F$120,6,0),""))&amp;""</f>
        <v/>
      </c>
      <c r="G102" s="210"/>
      <c r="H102" s="209" t="str">
        <f>IFERROR(IF($H101+1&gt;'(backend scoring)'!$Q$335,"",$H101+1),"")</f>
        <v/>
      </c>
      <c r="I102" s="209" t="str">
        <f>_xlfn.XLOOKUP($H102,'(backend scoring)'!$S$2:$S$333,'(backend scoring)'!$A$2:$A$333,"")</f>
        <v/>
      </c>
      <c r="J102" s="209" t="str">
        <f>IFERROR(VLOOKUP($I102,'Institution Evaluation'!$A$55:$F$345,2,0),IFERROR(VLOOKUP($I102,'Privacy Analyst Evaluation'!$A$46:$F$120,2,0),""))</f>
        <v/>
      </c>
      <c r="K102" s="209" t="str">
        <f>IFERROR(VLOOKUP($I102,'Institution Evaluation'!$A$55:$F$345,3,0),IFERROR(VLOOKUP($I102,'Privacy Analyst Evaluation'!$A$46:$F$120,3,0),""))&amp;""</f>
        <v/>
      </c>
      <c r="L102" s="209" t="str">
        <f>IFERROR(VLOOKUP($I102,'Institution Evaluation'!$A$55:$F$345,4,0),IFERROR(VLOOKUP($I102,'Privacy Analyst Evaluation'!$A$46:$F$120,4,0),""))&amp;""</f>
        <v/>
      </c>
      <c r="M102" s="209" t="str">
        <f>IFERROR(VLOOKUP($I102,'Institution Evaluation'!$A$55:$F$345,6,0),IFERROR(VLOOKUP($I102,'Privacy Analyst Evaluation'!$A$46:$F$120,6,0),""))&amp;""</f>
        <v/>
      </c>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row>
    <row r="103" spans="1:338" ht="409.6" x14ac:dyDescent="0.3">
      <c r="A103" s="209">
        <f>IFERROR(IF($A102+1&gt;'(backend scoring)'!$T$335,"",$A102+1),"")</f>
        <v>79</v>
      </c>
      <c r="B103" s="209" t="str">
        <f>_xlfn.XLOOKUP($A103,'(backend scoring)'!$V$2:$V$333,'(backend scoring)'!$A$2:$A$333,"")</f>
        <v>AISC-01</v>
      </c>
      <c r="C103" s="209" t="str">
        <f>IFERROR(VLOOKUP($B103,'Institution Evaluation'!$A$55:$F$345,2,0),IFERROR(VLOOKUP($B103,'Privacy Analyst Evaluation'!$A$46:$F$120,2,0),""))&amp;""</f>
        <v>If sensitive data is introduced to your solution's AI model, can the data be removed from the AI model by request?*</v>
      </c>
      <c r="D103" s="209" t="str">
        <f>IFERROR(VLOOKUP($B103,'Institution Evaluation'!$A$55:$F$345,3,0),IFERROR(VLOOKUP($B103,'Privacy Analyst Evaluation'!$A$46:$F$120,3,0),""))&amp;""</f>
        <v>No</v>
      </c>
      <c r="E103" s="209" t="str">
        <f>IFERROR(VLOOKUP($B103,'Institution Evaluation'!$A$55:$F$345,4,0),IFERROR(VLOOKUP($B103,'Privacy Analyst Evaluation'!$A$46:$F$120,4,0),""))&amp;""</f>
        <v xml:space="preserve">If sensitive data were inadvertently introduced into Cursive's AI training dataset, removing it from the production model would require model retraining. Cursive does not currently support per-record removal from a trained model without retraining (this is a known limitation of supervised ML systems generally; "machine unlearning" techniques exist in research but are not standard practice). However, the practical likelihood of this scenario is materially limited by Cursive's data minimization architecture: training data consists of Cursive-owned datasets. Institutional customer data is not used in training by default, and any deviation requires explicit written contractual agreement. If sensitive data were nonetheless identified in the training dataset, Cursive would: (1) remove the data from the training corpus; (2) retrain the affected model on the cleaned dataset; (3) deploy the retrained model per the change management process; (4) notify affected institutional customers per the breach notification commitment.
</v>
      </c>
      <c r="F103" s="209" t="str">
        <f>IFERROR(VLOOKUP($B103,'Institution Evaluation'!$A$55:$F$345,6,0),IFERROR(VLOOKUP($B103,'Privacy Analyst Evaluation'!$A$46:$F$120,6,0),""))&amp;""</f>
        <v/>
      </c>
      <c r="G103" s="210"/>
      <c r="H103" s="209" t="str">
        <f>IFERROR(IF($H102+1&gt;'(backend scoring)'!$Q$335,"",$H102+1),"")</f>
        <v/>
      </c>
      <c r="I103" s="209" t="str">
        <f>_xlfn.XLOOKUP($H103,'(backend scoring)'!$S$2:$S$333,'(backend scoring)'!$A$2:$A$333,"")</f>
        <v/>
      </c>
      <c r="J103" s="209" t="str">
        <f>IFERROR(VLOOKUP($I103,'Institution Evaluation'!$A$55:$F$345,2,0),IFERROR(VLOOKUP($I103,'Privacy Analyst Evaluation'!$A$46:$F$120,2,0),""))</f>
        <v/>
      </c>
      <c r="K103" s="209" t="str">
        <f>IFERROR(VLOOKUP($I103,'Institution Evaluation'!$A$55:$F$345,3,0),IFERROR(VLOOKUP($I103,'Privacy Analyst Evaluation'!$A$46:$F$120,3,0),""))&amp;""</f>
        <v/>
      </c>
      <c r="L103" s="209" t="str">
        <f>IFERROR(VLOOKUP($I103,'Institution Evaluation'!$A$55:$F$345,4,0),IFERROR(VLOOKUP($I103,'Privacy Analyst Evaluation'!$A$46:$F$120,4,0),""))&amp;""</f>
        <v/>
      </c>
      <c r="M103" s="209" t="str">
        <f>IFERROR(VLOOKUP($I103,'Institution Evaluation'!$A$55:$F$345,6,0),IFERROR(VLOOKUP($I103,'Privacy Analyst Evaluation'!$A$46:$F$120,6,0),""))&amp;""</f>
        <v/>
      </c>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row>
    <row r="104" spans="1:338" ht="307.8" x14ac:dyDescent="0.3">
      <c r="A104" s="209">
        <f>IFERROR(IF($A103+1&gt;'(backend scoring)'!$T$335,"",$A103+1),"")</f>
        <v>80</v>
      </c>
      <c r="B104" s="209" t="str">
        <f>_xlfn.XLOOKUP($A104,'(backend scoring)'!$V$2:$V$333,'(backend scoring)'!$A$2:$A$333,"")</f>
        <v>AISC-02</v>
      </c>
      <c r="C104" s="209" t="str">
        <f>IFERROR(VLOOKUP($B104,'Institution Evaluation'!$A$55:$F$345,2,0),IFERROR(VLOOKUP($B104,'Privacy Analyst Evaluation'!$A$46:$F$120,2,0),""))&amp;""</f>
        <v>Is user input data used to influence your solution's AI model?*</v>
      </c>
      <c r="D104" s="209" t="str">
        <f>IFERROR(VLOOKUP($B104,'Institution Evaluation'!$A$55:$F$345,3,0),IFERROR(VLOOKUP($B104,'Privacy Analyst Evaluation'!$A$46:$F$120,3,0),""))&amp;""</f>
        <v>No</v>
      </c>
      <c r="E104" s="209" t="str">
        <f>IFERROR(VLOOKUP($B104,'Institution Evaluation'!$A$55:$F$345,4,0),IFERROR(VLOOKUP($B104,'Privacy Analyst Evaluation'!$A$46:$F$120,4,0),""))&amp;""</f>
        <v xml:space="preserve">By default, user input data (institutional customer data flowing through the inference API) is NOT used to influence, train, fine-tune, or improve the production AI models. Training operates exclusively on Cursive-owned datasets. Inference inputs are processed transiently (raw keystroke telemetry deleted after authorship-payload generation) and are not retained as training data.
</v>
      </c>
      <c r="F104" s="209" t="str">
        <f>IFERROR(VLOOKUP($B104,'Institution Evaluation'!$A$55:$F$345,6,0),IFERROR(VLOOKUP($B104,'Privacy Analyst Evaluation'!$A$46:$F$120,6,0),""))&amp;""</f>
        <v/>
      </c>
      <c r="G104" s="210"/>
      <c r="H104" s="209" t="str">
        <f>IFERROR(IF($H103+1&gt;'(backend scoring)'!$Q$335,"",$H103+1),"")</f>
        <v/>
      </c>
      <c r="I104" s="209" t="str">
        <f>_xlfn.XLOOKUP($H104,'(backend scoring)'!$S$2:$S$333,'(backend scoring)'!$A$2:$A$333,"")</f>
        <v/>
      </c>
      <c r="J104" s="209" t="str">
        <f>IFERROR(VLOOKUP($I104,'Institution Evaluation'!$A$55:$F$345,2,0),IFERROR(VLOOKUP($I104,'Privacy Analyst Evaluation'!$A$46:$F$120,2,0),""))</f>
        <v/>
      </c>
      <c r="K104" s="209" t="str">
        <f>IFERROR(VLOOKUP($I104,'Institution Evaluation'!$A$55:$F$345,3,0),IFERROR(VLOOKUP($I104,'Privacy Analyst Evaluation'!$A$46:$F$120,3,0),""))&amp;""</f>
        <v/>
      </c>
      <c r="L104" s="209" t="str">
        <f>IFERROR(VLOOKUP($I104,'Institution Evaluation'!$A$55:$F$345,4,0),IFERROR(VLOOKUP($I104,'Privacy Analyst Evaluation'!$A$46:$F$120,4,0),""))&amp;""</f>
        <v/>
      </c>
      <c r="M104" s="209" t="str">
        <f>IFERROR(VLOOKUP($I104,'Institution Evaluation'!$A$55:$F$345,6,0),IFERROR(VLOOKUP($I104,'Privacy Analyst Evaluation'!$A$46:$F$120,6,0),""))&amp;""</f>
        <v/>
      </c>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row>
    <row r="105" spans="1:338" ht="259.2" x14ac:dyDescent="0.3">
      <c r="A105" s="209">
        <f>IFERROR(IF($A104+1&gt;'(backend scoring)'!$T$335,"",$A104+1),"")</f>
        <v>81</v>
      </c>
      <c r="B105" s="209" t="str">
        <f>_xlfn.XLOOKUP($A105,'(backend scoring)'!$V$2:$V$333,'(backend scoring)'!$A$2:$A$333,"")</f>
        <v>AISC-03</v>
      </c>
      <c r="C105" s="209" t="str">
        <f>IFERROR(VLOOKUP($B105,'Institution Evaluation'!$A$55:$F$345,2,0),IFERROR(VLOOKUP($B105,'Privacy Analyst Evaluation'!$A$46:$F$120,2,0),""))&amp;""</f>
        <v>Do you provide logging for your solution's AI feature(s) that includes user, date, and action taken?*</v>
      </c>
      <c r="D105" s="209" t="str">
        <f>IFERROR(VLOOKUP($B105,'Institution Evaluation'!$A$55:$F$345,3,0),IFERROR(VLOOKUP($B105,'Privacy Analyst Evaluation'!$A$46:$F$120,3,0),""))&amp;""</f>
        <v>Yes</v>
      </c>
      <c r="E105" s="209" t="str">
        <f>IFERROR(VLOOKUP($B105,'Institution Evaluation'!$A$55:$F$345,4,0),IFERROR(VLOOKUP($B105,'Privacy Analyst Evaluation'!$A$46:$F$120,4,0),""))&amp;""</f>
        <v>Inference logs include the LMS-issued UUID (user identifier — not name or email), timestamp, request context, request payload metadata, and model output (Verified / Verifying classification or Copy-behavior signal). Logs are retained per the documented retention practices in PRIV-08 and are available for institutional audit on request (consistent with HLAA-07).</v>
      </c>
      <c r="F105" s="209" t="str">
        <f>IFERROR(VLOOKUP($B105,'Institution Evaluation'!$A$55:$F$345,6,0),IFERROR(VLOOKUP($B105,'Privacy Analyst Evaluation'!$A$46:$F$120,6,0),""))&amp;""</f>
        <v/>
      </c>
      <c r="G105" s="210"/>
      <c r="H105" s="209" t="str">
        <f>IFERROR(IF($H104+1&gt;'(backend scoring)'!$Q$335,"",$H104+1),"")</f>
        <v/>
      </c>
      <c r="I105" s="209" t="str">
        <f>_xlfn.XLOOKUP($H105,'(backend scoring)'!$S$2:$S$333,'(backend scoring)'!$A$2:$A$333,"")</f>
        <v/>
      </c>
      <c r="J105" s="209" t="str">
        <f>IFERROR(VLOOKUP($I105,'Institution Evaluation'!$A$55:$F$345,2,0),IFERROR(VLOOKUP($I105,'Privacy Analyst Evaluation'!$A$46:$F$120,2,0),""))</f>
        <v/>
      </c>
      <c r="K105" s="209" t="str">
        <f>IFERROR(VLOOKUP($I105,'Institution Evaluation'!$A$55:$F$345,3,0),IFERROR(VLOOKUP($I105,'Privacy Analyst Evaluation'!$A$46:$F$120,3,0),""))&amp;""</f>
        <v/>
      </c>
      <c r="L105" s="209" t="str">
        <f>IFERROR(VLOOKUP($I105,'Institution Evaluation'!$A$55:$F$345,4,0),IFERROR(VLOOKUP($I105,'Privacy Analyst Evaluation'!$A$46:$F$120,4,0),""))&amp;""</f>
        <v/>
      </c>
      <c r="M105" s="209" t="str">
        <f>IFERROR(VLOOKUP($I105,'Institution Evaluation'!$A$55:$F$345,6,0),IFERROR(VLOOKUP($I105,'Privacy Analyst Evaluation'!$A$46:$F$120,6,0),""))&amp;""</f>
        <v/>
      </c>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row>
    <row r="106" spans="1:338" ht="409.6" x14ac:dyDescent="0.3">
      <c r="A106" s="209">
        <f>IFERROR(IF($A105+1&gt;'(backend scoring)'!$T$335,"",$A105+1),"")</f>
        <v>82</v>
      </c>
      <c r="B106" s="209" t="str">
        <f>_xlfn.XLOOKUP($A106,'(backend scoring)'!$V$2:$V$333,'(backend scoring)'!$A$2:$A$333,"")</f>
        <v>AIML-01</v>
      </c>
      <c r="C106" s="209" t="str">
        <f>IFERROR(VLOOKUP($B106,'Institution Evaluation'!$A$55:$F$345,2,0),IFERROR(VLOOKUP($B106,'Privacy Analyst Evaluation'!$A$46:$F$120,2,0),""))&amp;""</f>
        <v>Do you separate ML training data from your ML solution data?*</v>
      </c>
      <c r="D106" s="209" t="str">
        <f>IFERROR(VLOOKUP($B106,'Institution Evaluation'!$A$55:$F$345,3,0),IFERROR(VLOOKUP($B106,'Privacy Analyst Evaluation'!$A$46:$F$120,3,0),""))&amp;""</f>
        <v>Yes</v>
      </c>
      <c r="E106" s="209" t="str">
        <f>IFERROR(VLOOKUP($B106,'Institution Evaluation'!$A$55:$F$345,4,0),IFERROR(VLOOKUP($B106,'Privacy Analyst Evaluation'!$A$46:$F$120,4,0),""))&amp;""</f>
        <v>ML training data is fully separated from production institutional ("solution") data. Training data for the Keyread and Copy-behavior models consists of Cursive-owned datasets validated against a diverse undergraduate population at the University of Maryland, Mechanical Turk, volunteers, 3rd party contractors, and friends and family; this training data resides in dedicated AWS storage with separate IAM scoping. Production institutional data flowing through the inference API is processed transiently — raw keystroke telemetry is deleted after authorship-payload generation — and is not commingled with training datasets. By default, no institutional customer data is incorporated into training; any deviation requires explicit written contractual agreement (see AIML-06 / AIML-07 in the scoped AI/ML domain).</v>
      </c>
      <c r="F106" s="209" t="str">
        <f>IFERROR(VLOOKUP($B106,'Institution Evaluation'!$A$55:$F$345,6,0),IFERROR(VLOOKUP($B106,'Privacy Analyst Evaluation'!$A$46:$F$120,6,0),""))&amp;""</f>
        <v/>
      </c>
      <c r="G106" s="210"/>
      <c r="H106" s="209" t="str">
        <f>IFERROR(IF($H105+1&gt;'(backend scoring)'!$Q$335,"",$H105+1),"")</f>
        <v/>
      </c>
      <c r="I106" s="209" t="str">
        <f>_xlfn.XLOOKUP($H106,'(backend scoring)'!$S$2:$S$333,'(backend scoring)'!$A$2:$A$333,"")</f>
        <v/>
      </c>
      <c r="J106" s="209" t="str">
        <f>IFERROR(VLOOKUP($I106,'Institution Evaluation'!$A$55:$F$345,2,0),IFERROR(VLOOKUP($I106,'Privacy Analyst Evaluation'!$A$46:$F$120,2,0),""))</f>
        <v/>
      </c>
      <c r="K106" s="209" t="str">
        <f>IFERROR(VLOOKUP($I106,'Institution Evaluation'!$A$55:$F$345,3,0),IFERROR(VLOOKUP($I106,'Privacy Analyst Evaluation'!$A$46:$F$120,3,0),""))&amp;""</f>
        <v/>
      </c>
      <c r="L106" s="209" t="str">
        <f>IFERROR(VLOOKUP($I106,'Institution Evaluation'!$A$55:$F$345,4,0),IFERROR(VLOOKUP($I106,'Privacy Analyst Evaluation'!$A$46:$F$120,4,0),""))&amp;""</f>
        <v/>
      </c>
      <c r="M106" s="209" t="str">
        <f>IFERROR(VLOOKUP($I106,'Institution Evaluation'!$A$55:$F$345,6,0),IFERROR(VLOOKUP($I106,'Privacy Analyst Evaluation'!$A$46:$F$120,6,0),""))&amp;""</f>
        <v/>
      </c>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row>
    <row r="107" spans="1:338" ht="210.6" x14ac:dyDescent="0.3">
      <c r="A107" s="209">
        <f>IFERROR(IF($A106+1&gt;'(backend scoring)'!$T$335,"",$A106+1),"")</f>
        <v>83</v>
      </c>
      <c r="B107" s="209" t="str">
        <f>_xlfn.XLOOKUP($A107,'(backend scoring)'!$V$2:$V$333,'(backend scoring)'!$A$2:$A$333,"")</f>
        <v>AIML-02</v>
      </c>
      <c r="C107" s="209" t="str">
        <f>IFERROR(VLOOKUP($B107,'Institution Evaluation'!$A$55:$F$345,2,0),IFERROR(VLOOKUP($B107,'Privacy Analyst Evaluation'!$A$46:$F$120,2,0),""))&amp;""</f>
        <v>Do you authenticate and verify your ML model's feedback?*</v>
      </c>
      <c r="D107" s="209" t="str">
        <f>IFERROR(VLOOKUP($B107,'Institution Evaluation'!$A$55:$F$345,3,0),IFERROR(VLOOKUP($B107,'Privacy Analyst Evaluation'!$A$46:$F$120,3,0),""))&amp;""</f>
        <v>Yes</v>
      </c>
      <c r="E107" s="209" t="str">
        <f>IFERROR(VLOOKUP($B107,'Institution Evaluation'!$A$55:$F$345,4,0),IFERROR(VLOOKUP($B107,'Privacy Analyst Evaluation'!$A$46:$F$120,4,0),""))&amp;""</f>
        <v xml:space="preserve">Model output (the binary "Verified" / "Verifying" classification) is bound to a specific authenticated inference request — endpoints require a valid LMS-issued token, requests are rate-limited, and inference outputs are tied to the originating UUID and request context. Outputs are logged for audit. </v>
      </c>
      <c r="F107" s="209" t="str">
        <f>IFERROR(VLOOKUP($B107,'Institution Evaluation'!$A$55:$F$345,6,0),IFERROR(VLOOKUP($B107,'Privacy Analyst Evaluation'!$A$46:$F$120,6,0),""))&amp;""</f>
        <v/>
      </c>
      <c r="G107" s="210"/>
      <c r="H107" s="209" t="str">
        <f>IFERROR(IF($H106+1&gt;'(backend scoring)'!$Q$335,"",$H106+1),"")</f>
        <v/>
      </c>
      <c r="I107" s="209" t="str">
        <f>_xlfn.XLOOKUP($H107,'(backend scoring)'!$S$2:$S$333,'(backend scoring)'!$A$2:$A$333,"")</f>
        <v/>
      </c>
      <c r="J107" s="209" t="str">
        <f>IFERROR(VLOOKUP($I107,'Institution Evaluation'!$A$55:$F$345,2,0),IFERROR(VLOOKUP($I107,'Privacy Analyst Evaluation'!$A$46:$F$120,2,0),""))</f>
        <v/>
      </c>
      <c r="K107" s="209" t="str">
        <f>IFERROR(VLOOKUP($I107,'Institution Evaluation'!$A$55:$F$345,3,0),IFERROR(VLOOKUP($I107,'Privacy Analyst Evaluation'!$A$46:$F$120,3,0),""))&amp;""</f>
        <v/>
      </c>
      <c r="L107" s="209" t="str">
        <f>IFERROR(VLOOKUP($I107,'Institution Evaluation'!$A$55:$F$345,4,0),IFERROR(VLOOKUP($I107,'Privacy Analyst Evaluation'!$A$46:$F$120,4,0),""))&amp;""</f>
        <v/>
      </c>
      <c r="M107" s="209" t="str">
        <f>IFERROR(VLOOKUP($I107,'Institution Evaluation'!$A$55:$F$345,6,0),IFERROR(VLOOKUP($I107,'Privacy Analyst Evaluation'!$A$46:$F$120,6,0),""))&amp;""</f>
        <v/>
      </c>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row>
    <row r="108" spans="1:338" ht="32.4" x14ac:dyDescent="0.3">
      <c r="A108" s="209">
        <f>IFERROR(IF($A107+1&gt;'(backend scoring)'!$T$335,"",$A107+1),"")</f>
        <v>84</v>
      </c>
      <c r="B108" s="209" t="str">
        <f>_xlfn.XLOOKUP($A108,'(backend scoring)'!$V$2:$V$333,'(backend scoring)'!$A$2:$A$333,"")</f>
        <v>AILM-01</v>
      </c>
      <c r="C108" s="209" t="str">
        <f>IFERROR(VLOOKUP($B108,'Institution Evaluation'!$A$55:$F$345,2,0),IFERROR(VLOOKUP($B108,'Privacy Analyst Evaluation'!$A$46:$F$120,2,0),""))&amp;""</f>
        <v>Do you limit your solution's LLM privileges by default?*</v>
      </c>
      <c r="D108" s="209" t="str">
        <f>IFERROR(VLOOKUP($B108,'Institution Evaluation'!$A$55:$F$345,3,0),IFERROR(VLOOKUP($B108,'Privacy Analyst Evaluation'!$A$46:$F$120,3,0),""))&amp;""</f>
        <v/>
      </c>
      <c r="E108" s="209" t="str">
        <f>IFERROR(VLOOKUP($B108,'Institution Evaluation'!$A$55:$F$345,4,0),IFERROR(VLOOKUP($B108,'Privacy Analyst Evaluation'!$A$46:$F$120,4,0),""))&amp;""</f>
        <v>This question does not apply.</v>
      </c>
      <c r="F108" s="209" t="str">
        <f>IFERROR(VLOOKUP($B108,'Institution Evaluation'!$A$55:$F$345,6,0),IFERROR(VLOOKUP($B108,'Privacy Analyst Evaluation'!$A$46:$F$120,6,0),""))&amp;""</f>
        <v/>
      </c>
      <c r="G108" s="210"/>
      <c r="H108" s="209" t="str">
        <f>IFERROR(IF($H107+1&gt;'(backend scoring)'!$Q$335,"",$H107+1),"")</f>
        <v/>
      </c>
      <c r="I108" s="209" t="str">
        <f>_xlfn.XLOOKUP($H108,'(backend scoring)'!$S$2:$S$333,'(backend scoring)'!$A$2:$A$333,"")</f>
        <v/>
      </c>
      <c r="J108" s="209" t="str">
        <f>IFERROR(VLOOKUP($I108,'Institution Evaluation'!$A$55:$F$345,2,0),IFERROR(VLOOKUP($I108,'Privacy Analyst Evaluation'!$A$46:$F$120,2,0),""))</f>
        <v/>
      </c>
      <c r="K108" s="209" t="str">
        <f>IFERROR(VLOOKUP($I108,'Institution Evaluation'!$A$55:$F$345,3,0),IFERROR(VLOOKUP($I108,'Privacy Analyst Evaluation'!$A$46:$F$120,3,0),""))&amp;""</f>
        <v/>
      </c>
      <c r="L108" s="209" t="str">
        <f>IFERROR(VLOOKUP($I108,'Institution Evaluation'!$A$55:$F$345,4,0),IFERROR(VLOOKUP($I108,'Privacy Analyst Evaluation'!$A$46:$F$120,4,0),""))&amp;""</f>
        <v/>
      </c>
      <c r="M108" s="209" t="str">
        <f>IFERROR(VLOOKUP($I108,'Institution Evaluation'!$A$55:$F$345,6,0),IFERROR(VLOOKUP($I108,'Privacy Analyst Evaluation'!$A$46:$F$120,6,0),""))&amp;""</f>
        <v/>
      </c>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row>
    <row r="109" spans="1:338" ht="48.6" x14ac:dyDescent="0.3">
      <c r="A109" s="209">
        <f>IFERROR(IF($A108+1&gt;'(backend scoring)'!$T$335,"",$A108+1),"")</f>
        <v>85</v>
      </c>
      <c r="B109" s="209" t="str">
        <f>_xlfn.XLOOKUP($A109,'(backend scoring)'!$V$2:$V$333,'(backend scoring)'!$A$2:$A$333,"")</f>
        <v>AILM-02</v>
      </c>
      <c r="C109" s="209" t="str">
        <f>IFERROR(VLOOKUP($B109,'Institution Evaluation'!$A$55:$F$345,2,0),IFERROR(VLOOKUP($B109,'Privacy Analyst Evaluation'!$A$46:$F$120,2,0),""))&amp;""</f>
        <v>Is your LLM training data vetted, validated, and verified before training the solution's AI model?*</v>
      </c>
      <c r="D109" s="209" t="str">
        <f>IFERROR(VLOOKUP($B109,'Institution Evaluation'!$A$55:$F$345,3,0),IFERROR(VLOOKUP($B109,'Privacy Analyst Evaluation'!$A$46:$F$120,3,0),""))&amp;""</f>
        <v/>
      </c>
      <c r="E109" s="209" t="str">
        <f>IFERROR(VLOOKUP($B109,'Institution Evaluation'!$A$55:$F$345,4,0),IFERROR(VLOOKUP($B109,'Privacy Analyst Evaluation'!$A$46:$F$120,4,0),""))&amp;""</f>
        <v>This question does not apply.</v>
      </c>
      <c r="F109" s="209" t="str">
        <f>IFERROR(VLOOKUP($B109,'Institution Evaluation'!$A$55:$F$345,6,0),IFERROR(VLOOKUP($B109,'Privacy Analyst Evaluation'!$A$46:$F$120,6,0),""))&amp;""</f>
        <v/>
      </c>
      <c r="G109" s="210"/>
      <c r="H109" s="209" t="str">
        <f>IFERROR(IF($H108+1&gt;'(backend scoring)'!$Q$335,"",$H108+1),"")</f>
        <v/>
      </c>
      <c r="I109" s="209" t="str">
        <f>_xlfn.XLOOKUP($H109,'(backend scoring)'!$S$2:$S$333,'(backend scoring)'!$A$2:$A$333,"")</f>
        <v/>
      </c>
      <c r="J109" s="209" t="str">
        <f>IFERROR(VLOOKUP($I109,'Institution Evaluation'!$A$55:$F$345,2,0),IFERROR(VLOOKUP($I109,'Privacy Analyst Evaluation'!$A$46:$F$120,2,0),""))</f>
        <v/>
      </c>
      <c r="K109" s="209" t="str">
        <f>IFERROR(VLOOKUP($I109,'Institution Evaluation'!$A$55:$F$345,3,0),IFERROR(VLOOKUP($I109,'Privacy Analyst Evaluation'!$A$46:$F$120,3,0),""))&amp;""</f>
        <v/>
      </c>
      <c r="L109" s="209" t="str">
        <f>IFERROR(VLOOKUP($I109,'Institution Evaluation'!$A$55:$F$345,4,0),IFERROR(VLOOKUP($I109,'Privacy Analyst Evaluation'!$A$46:$F$120,4,0),""))&amp;""</f>
        <v/>
      </c>
      <c r="M109" s="209" t="str">
        <f>IFERROR(VLOOKUP($I109,'Institution Evaluation'!$A$55:$F$345,6,0),IFERROR(VLOOKUP($I109,'Privacy Analyst Evaluation'!$A$46:$F$120,6,0),""))&amp;""</f>
        <v/>
      </c>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row>
    <row r="110" spans="1:338" ht="48.6" x14ac:dyDescent="0.3">
      <c r="A110" s="209">
        <f>IFERROR(IF($A109+1&gt;'(backend scoring)'!$T$335,"",$A109+1),"")</f>
        <v>86</v>
      </c>
      <c r="B110" s="209" t="str">
        <f>_xlfn.XLOOKUP($A110,'(backend scoring)'!$V$2:$V$333,'(backend scoring)'!$A$2:$A$333,"")</f>
        <v>AILM-03</v>
      </c>
      <c r="C110" s="209" t="str">
        <f>IFERROR(VLOOKUP($B110,'Institution Evaluation'!$A$55:$F$345,2,0),IFERROR(VLOOKUP($B110,'Privacy Analyst Evaluation'!$A$46:$F$120,2,0),""))&amp;""</f>
        <v>Do any actions taken by your solution's LLM features or plugins require human intervention?*</v>
      </c>
      <c r="D110" s="209" t="str">
        <f>IFERROR(VLOOKUP($B110,'Institution Evaluation'!$A$55:$F$345,3,0),IFERROR(VLOOKUP($B110,'Privacy Analyst Evaluation'!$A$46:$F$120,3,0),""))&amp;""</f>
        <v/>
      </c>
      <c r="E110" s="209" t="str">
        <f>IFERROR(VLOOKUP($B110,'Institution Evaluation'!$A$55:$F$345,4,0),IFERROR(VLOOKUP($B110,'Privacy Analyst Evaluation'!$A$46:$F$120,4,0),""))&amp;""</f>
        <v>This question does not apply.</v>
      </c>
      <c r="F110" s="209" t="str">
        <f>IFERROR(VLOOKUP($B110,'Institution Evaluation'!$A$55:$F$345,6,0),IFERROR(VLOOKUP($B110,'Privacy Analyst Evaluation'!$A$46:$F$120,6,0),""))&amp;""</f>
        <v/>
      </c>
      <c r="G110" s="210"/>
      <c r="H110" s="209" t="str">
        <f>IFERROR(IF($H109+1&gt;'(backend scoring)'!$Q$335,"",$H109+1),"")</f>
        <v/>
      </c>
      <c r="I110" s="209" t="str">
        <f>_xlfn.XLOOKUP($H110,'(backend scoring)'!$S$2:$S$333,'(backend scoring)'!$A$2:$A$333,"")</f>
        <v/>
      </c>
      <c r="J110" s="209" t="str">
        <f>IFERROR(VLOOKUP($I110,'Institution Evaluation'!$A$55:$F$345,2,0),IFERROR(VLOOKUP($I110,'Privacy Analyst Evaluation'!$A$46:$F$120,2,0),""))</f>
        <v/>
      </c>
      <c r="K110" s="209" t="str">
        <f>IFERROR(VLOOKUP($I110,'Institution Evaluation'!$A$55:$F$345,3,0),IFERROR(VLOOKUP($I110,'Privacy Analyst Evaluation'!$A$46:$F$120,3,0),""))&amp;""</f>
        <v/>
      </c>
      <c r="L110" s="209" t="str">
        <f>IFERROR(VLOOKUP($I110,'Institution Evaluation'!$A$55:$F$345,4,0),IFERROR(VLOOKUP($I110,'Privacy Analyst Evaluation'!$A$46:$F$120,4,0),""))&amp;""</f>
        <v/>
      </c>
      <c r="M110" s="209" t="str">
        <f>IFERROR(VLOOKUP($I110,'Institution Evaluation'!$A$55:$F$345,6,0),IFERROR(VLOOKUP($I110,'Privacy Analyst Evaluation'!$A$46:$F$120,6,0),""))&amp;""</f>
        <v/>
      </c>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row>
    <row r="111" spans="1:338" ht="48.6" x14ac:dyDescent="0.3">
      <c r="A111" s="209">
        <f>IFERROR(IF($A110+1&gt;'(backend scoring)'!$T$335,"",$A110+1),"")</f>
        <v>87</v>
      </c>
      <c r="B111" s="209" t="str">
        <f>_xlfn.XLOOKUP($A111,'(backend scoring)'!$V$2:$V$333,'(backend scoring)'!$A$2:$A$333,"")</f>
        <v>AILM-04</v>
      </c>
      <c r="C111" s="209" t="str">
        <f>IFERROR(VLOOKUP($B111,'Institution Evaluation'!$A$55:$F$345,2,0),IFERROR(VLOOKUP($B111,'Privacy Analyst Evaluation'!$A$46:$F$120,2,0),""))&amp;""</f>
        <v>Do you limit multiple LLM model plugins being called as part of a single input?*</v>
      </c>
      <c r="D111" s="209" t="str">
        <f>IFERROR(VLOOKUP($B111,'Institution Evaluation'!$A$55:$F$345,3,0),IFERROR(VLOOKUP($B111,'Privacy Analyst Evaluation'!$A$46:$F$120,3,0),""))&amp;""</f>
        <v/>
      </c>
      <c r="E111" s="209" t="str">
        <f>IFERROR(VLOOKUP($B111,'Institution Evaluation'!$A$55:$F$345,4,0),IFERROR(VLOOKUP($B111,'Privacy Analyst Evaluation'!$A$46:$F$120,4,0),""))&amp;""</f>
        <v>This question does not apply.</v>
      </c>
      <c r="F111" s="209" t="str">
        <f>IFERROR(VLOOKUP($B111,'Institution Evaluation'!$A$55:$F$345,6,0),IFERROR(VLOOKUP($B111,'Privacy Analyst Evaluation'!$A$46:$F$120,6,0),""))&amp;""</f>
        <v/>
      </c>
      <c r="G111" s="210"/>
      <c r="H111" s="209" t="str">
        <f>IFERROR(IF($H110+1&gt;'(backend scoring)'!$Q$335,"",$H110+1),"")</f>
        <v/>
      </c>
      <c r="I111" s="209" t="str">
        <f>_xlfn.XLOOKUP($H111,'(backend scoring)'!$S$2:$S$333,'(backend scoring)'!$A$2:$A$333,"")</f>
        <v/>
      </c>
      <c r="J111" s="209" t="str">
        <f>IFERROR(VLOOKUP($I111,'Institution Evaluation'!$A$55:$F$345,2,0),IFERROR(VLOOKUP($I111,'Privacy Analyst Evaluation'!$A$46:$F$120,2,0),""))</f>
        <v/>
      </c>
      <c r="K111" s="209" t="str">
        <f>IFERROR(VLOOKUP($I111,'Institution Evaluation'!$A$55:$F$345,3,0),IFERROR(VLOOKUP($I111,'Privacy Analyst Evaluation'!$A$46:$F$120,3,0),""))&amp;""</f>
        <v/>
      </c>
      <c r="L111" s="209" t="str">
        <f>IFERROR(VLOOKUP($I111,'Institution Evaluation'!$A$55:$F$345,4,0),IFERROR(VLOOKUP($I111,'Privacy Analyst Evaluation'!$A$46:$F$120,4,0),""))&amp;""</f>
        <v/>
      </c>
      <c r="M111" s="209" t="str">
        <f>IFERROR(VLOOKUP($I111,'Institution Evaluation'!$A$55:$F$345,6,0),IFERROR(VLOOKUP($I111,'Privacy Analyst Evaluation'!$A$46:$F$120,6,0),""))&amp;""</f>
        <v/>
      </c>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row>
    <row r="112" spans="1:338" x14ac:dyDescent="0.3">
      <c r="A112" s="209" t="str">
        <f>IFERROR(IF($A111+1&gt;'(backend scoring)'!$T$335,"",$A111+1),"")</f>
        <v/>
      </c>
      <c r="B112" s="209" t="str">
        <f>_xlfn.XLOOKUP($A112,'(backend scoring)'!$V$2:$V$333,'(backend scoring)'!$A$2:$A$333,"")</f>
        <v/>
      </c>
      <c r="C112" s="209" t="str">
        <f>IFERROR(VLOOKUP($B112,'Institution Evaluation'!$A$55:$F$345,2,0),IFERROR(VLOOKUP($B112,'Privacy Analyst Evaluation'!$A$46:$F$120,2,0),""))&amp;""</f>
        <v/>
      </c>
      <c r="D112" s="209" t="str">
        <f>IFERROR(VLOOKUP($B112,'Institution Evaluation'!$A$55:$F$345,3,0),IFERROR(VLOOKUP($B112,'Privacy Analyst Evaluation'!$A$46:$F$120,3,0),""))&amp;""</f>
        <v/>
      </c>
      <c r="E112" s="209" t="str">
        <f>IFERROR(VLOOKUP($B112,'Institution Evaluation'!$A$55:$F$345,4,0),IFERROR(VLOOKUP($B112,'Privacy Analyst Evaluation'!$A$46:$F$120,4,0),""))&amp;""</f>
        <v/>
      </c>
      <c r="F112" s="209" t="str">
        <f>IFERROR(VLOOKUP($B112,'Institution Evaluation'!$A$55:$F$345,6,0),IFERROR(VLOOKUP($B112,'Privacy Analyst Evaluation'!$A$46:$F$120,6,0),""))&amp;""</f>
        <v/>
      </c>
      <c r="G112" s="210"/>
      <c r="H112" s="209" t="str">
        <f>IFERROR(IF($H111+1&gt;'(backend scoring)'!$Q$335,"",$H111+1),"")</f>
        <v/>
      </c>
      <c r="I112" s="209" t="str">
        <f>_xlfn.XLOOKUP($H112,'(backend scoring)'!$S$2:$S$333,'(backend scoring)'!$A$2:$A$333,"")</f>
        <v/>
      </c>
      <c r="J112" s="209" t="str">
        <f>IFERROR(VLOOKUP($I112,'Institution Evaluation'!$A$55:$F$345,2,0),IFERROR(VLOOKUP($I112,'Privacy Analyst Evaluation'!$A$46:$F$120,2,0),""))</f>
        <v/>
      </c>
      <c r="K112" s="209" t="str">
        <f>IFERROR(VLOOKUP($I112,'Institution Evaluation'!$A$55:$F$345,3,0),IFERROR(VLOOKUP($I112,'Privacy Analyst Evaluation'!$A$46:$F$120,3,0),""))&amp;""</f>
        <v/>
      </c>
      <c r="L112" s="209" t="str">
        <f>IFERROR(VLOOKUP($I112,'Institution Evaluation'!$A$55:$F$345,4,0),IFERROR(VLOOKUP($I112,'Privacy Analyst Evaluation'!$A$46:$F$120,4,0),""))&amp;""</f>
        <v/>
      </c>
      <c r="M112" s="209" t="str">
        <f>IFERROR(VLOOKUP($I112,'Institution Evaluation'!$A$55:$F$345,6,0),IFERROR(VLOOKUP($I112,'Privacy Analyst Evaluation'!$A$46:$F$120,6,0),""))&amp;""</f>
        <v/>
      </c>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row>
    <row r="113" spans="1:338" x14ac:dyDescent="0.3">
      <c r="A113" s="209" t="str">
        <f>IFERROR(IF($A112+1&gt;'(backend scoring)'!$T$335,"",$A112+1),"")</f>
        <v/>
      </c>
      <c r="B113" s="209" t="str">
        <f>_xlfn.XLOOKUP($A113,'(backend scoring)'!$V$2:$V$333,'(backend scoring)'!$A$2:$A$333,"")</f>
        <v/>
      </c>
      <c r="C113" s="209" t="str">
        <f>IFERROR(VLOOKUP($B113,'Institution Evaluation'!$A$55:$F$345,2,0),IFERROR(VLOOKUP($B113,'Privacy Analyst Evaluation'!$A$46:$F$120,2,0),""))&amp;""</f>
        <v/>
      </c>
      <c r="D113" s="209" t="str">
        <f>IFERROR(VLOOKUP($B113,'Institution Evaluation'!$A$55:$F$345,3,0),IFERROR(VLOOKUP($B113,'Privacy Analyst Evaluation'!$A$46:$F$120,3,0),""))&amp;""</f>
        <v/>
      </c>
      <c r="E113" s="209" t="str">
        <f>IFERROR(VLOOKUP($B113,'Institution Evaluation'!$A$55:$F$345,4,0),IFERROR(VLOOKUP($B113,'Privacy Analyst Evaluation'!$A$46:$F$120,4,0),""))&amp;""</f>
        <v/>
      </c>
      <c r="F113" s="209" t="str">
        <f>IFERROR(VLOOKUP($B113,'Institution Evaluation'!$A$55:$F$345,6,0),IFERROR(VLOOKUP($B113,'Privacy Analyst Evaluation'!$A$46:$F$120,6,0),""))&amp;""</f>
        <v/>
      </c>
      <c r="G113" s="210"/>
      <c r="H113" s="209" t="str">
        <f>IFERROR(IF($H112+1&gt;'(backend scoring)'!$Q$335,"",$H112+1),"")</f>
        <v/>
      </c>
      <c r="I113" s="209" t="str">
        <f>_xlfn.XLOOKUP($H113,'(backend scoring)'!$S$2:$S$333,'(backend scoring)'!$A$2:$A$333,"")</f>
        <v/>
      </c>
      <c r="J113" s="209" t="str">
        <f>IFERROR(VLOOKUP($I113,'Institution Evaluation'!$A$55:$F$345,2,0),IFERROR(VLOOKUP($I113,'Privacy Analyst Evaluation'!$A$46:$F$120,2,0),""))</f>
        <v/>
      </c>
      <c r="K113" s="209" t="str">
        <f>IFERROR(VLOOKUP($I113,'Institution Evaluation'!$A$55:$F$345,3,0),IFERROR(VLOOKUP($I113,'Privacy Analyst Evaluation'!$A$46:$F$120,3,0),""))&amp;""</f>
        <v/>
      </c>
      <c r="L113" s="209" t="str">
        <f>IFERROR(VLOOKUP($I113,'Institution Evaluation'!$A$55:$F$345,4,0),IFERROR(VLOOKUP($I113,'Privacy Analyst Evaluation'!$A$46:$F$120,4,0),""))&amp;""</f>
        <v/>
      </c>
      <c r="M113" s="209" t="str">
        <f>IFERROR(VLOOKUP($I113,'Institution Evaluation'!$A$55:$F$345,6,0),IFERROR(VLOOKUP($I113,'Privacy Analyst Evaluation'!$A$46:$F$120,6,0),""))&amp;""</f>
        <v/>
      </c>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row>
    <row r="114" spans="1:338" x14ac:dyDescent="0.3">
      <c r="A114" s="209" t="str">
        <f>IFERROR(IF($A113+1&gt;'(backend scoring)'!$T$335,"",$A113+1),"")</f>
        <v/>
      </c>
      <c r="B114" s="209" t="str">
        <f>_xlfn.XLOOKUP($A114,'(backend scoring)'!$V$2:$V$333,'(backend scoring)'!$A$2:$A$333,"")</f>
        <v/>
      </c>
      <c r="C114" s="209" t="str">
        <f>IFERROR(VLOOKUP($B114,'Institution Evaluation'!$A$55:$F$345,2,0),IFERROR(VLOOKUP($B114,'Privacy Analyst Evaluation'!$A$46:$F$120,2,0),""))&amp;""</f>
        <v/>
      </c>
      <c r="D114" s="209" t="str">
        <f>IFERROR(VLOOKUP($B114,'Institution Evaluation'!$A$55:$F$345,3,0),IFERROR(VLOOKUP($B114,'Privacy Analyst Evaluation'!$A$46:$F$120,3,0),""))&amp;""</f>
        <v/>
      </c>
      <c r="E114" s="209" t="str">
        <f>IFERROR(VLOOKUP($B114,'Institution Evaluation'!$A$55:$F$345,4,0),IFERROR(VLOOKUP($B114,'Privacy Analyst Evaluation'!$A$46:$F$120,4,0),""))&amp;""</f>
        <v/>
      </c>
      <c r="F114" s="209" t="str">
        <f>IFERROR(VLOOKUP($B114,'Institution Evaluation'!$A$55:$F$345,6,0),IFERROR(VLOOKUP($B114,'Privacy Analyst Evaluation'!$A$46:$F$120,6,0),""))&amp;""</f>
        <v/>
      </c>
      <c r="G114" s="210"/>
      <c r="H114" s="209" t="str">
        <f>IFERROR(IF($H113+1&gt;'(backend scoring)'!$Q$335,"",$H113+1),"")</f>
        <v/>
      </c>
      <c r="I114" s="209" t="str">
        <f>_xlfn.XLOOKUP($H114,'(backend scoring)'!$S$2:$S$333,'(backend scoring)'!$A$2:$A$333,"")</f>
        <v/>
      </c>
      <c r="J114" s="209" t="str">
        <f>IFERROR(VLOOKUP($I114,'Institution Evaluation'!$A$55:$F$345,2,0),IFERROR(VLOOKUP($I114,'Privacy Analyst Evaluation'!$A$46:$F$120,2,0),""))</f>
        <v/>
      </c>
      <c r="K114" s="209" t="str">
        <f>IFERROR(VLOOKUP($I114,'Institution Evaluation'!$A$55:$F$345,3,0),IFERROR(VLOOKUP($I114,'Privacy Analyst Evaluation'!$A$46:$F$120,3,0),""))&amp;""</f>
        <v/>
      </c>
      <c r="L114" s="209" t="str">
        <f>IFERROR(VLOOKUP($I114,'Institution Evaluation'!$A$55:$F$345,4,0),IFERROR(VLOOKUP($I114,'Privacy Analyst Evaluation'!$A$46:$F$120,4,0),""))&amp;""</f>
        <v/>
      </c>
      <c r="M114" s="209" t="str">
        <f>IFERROR(VLOOKUP($I114,'Institution Evaluation'!$A$55:$F$345,6,0),IFERROR(VLOOKUP($I114,'Privacy Analyst Evaluation'!$A$46:$F$120,6,0),""))&amp;""</f>
        <v/>
      </c>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row>
    <row r="115" spans="1:338" x14ac:dyDescent="0.3">
      <c r="A115" s="209" t="str">
        <f>IFERROR(IF($A114+1&gt;'(backend scoring)'!$T$335,"",$A114+1),"")</f>
        <v/>
      </c>
      <c r="B115" s="209" t="str">
        <f>_xlfn.XLOOKUP($A115,'(backend scoring)'!$V$2:$V$333,'(backend scoring)'!$A$2:$A$333,"")</f>
        <v/>
      </c>
      <c r="C115" s="209" t="str">
        <f>IFERROR(VLOOKUP($B115,'Institution Evaluation'!$A$55:$F$345,2,0),IFERROR(VLOOKUP($B115,'Privacy Analyst Evaluation'!$A$46:$F$120,2,0),""))&amp;""</f>
        <v/>
      </c>
      <c r="D115" s="209" t="str">
        <f>IFERROR(VLOOKUP($B115,'Institution Evaluation'!$A$55:$F$345,3,0),IFERROR(VLOOKUP($B115,'Privacy Analyst Evaluation'!$A$46:$F$120,3,0),""))&amp;""</f>
        <v/>
      </c>
      <c r="E115" s="209" t="str">
        <f>IFERROR(VLOOKUP($B115,'Institution Evaluation'!$A$55:$F$345,4,0),IFERROR(VLOOKUP($B115,'Privacy Analyst Evaluation'!$A$46:$F$120,4,0),""))&amp;""</f>
        <v/>
      </c>
      <c r="F115" s="209" t="str">
        <f>IFERROR(VLOOKUP($B115,'Institution Evaluation'!$A$55:$F$345,6,0),IFERROR(VLOOKUP($B115,'Privacy Analyst Evaluation'!$A$46:$F$120,6,0),""))&amp;""</f>
        <v/>
      </c>
      <c r="G115" s="210"/>
      <c r="H115" s="209" t="str">
        <f>IFERROR(IF($H114+1&gt;'(backend scoring)'!$Q$335,"",$H114+1),"")</f>
        <v/>
      </c>
      <c r="I115" s="209" t="str">
        <f>_xlfn.XLOOKUP($H115,'(backend scoring)'!$S$2:$S$333,'(backend scoring)'!$A$2:$A$333,"")</f>
        <v/>
      </c>
      <c r="J115" s="209" t="str">
        <f>IFERROR(VLOOKUP($I115,'Institution Evaluation'!$A$55:$F$345,2,0),IFERROR(VLOOKUP($I115,'Privacy Analyst Evaluation'!$A$46:$F$120,2,0),""))</f>
        <v/>
      </c>
      <c r="K115" s="209" t="str">
        <f>IFERROR(VLOOKUP($I115,'Institution Evaluation'!$A$55:$F$345,3,0),IFERROR(VLOOKUP($I115,'Privacy Analyst Evaluation'!$A$46:$F$120,3,0),""))&amp;""</f>
        <v/>
      </c>
      <c r="L115" s="209" t="str">
        <f>IFERROR(VLOOKUP($I115,'Institution Evaluation'!$A$55:$F$345,4,0),IFERROR(VLOOKUP($I115,'Privacy Analyst Evaluation'!$A$46:$F$120,4,0),""))&amp;""</f>
        <v/>
      </c>
      <c r="M115" s="209" t="str">
        <f>IFERROR(VLOOKUP($I115,'Institution Evaluation'!$A$55:$F$345,6,0),IFERROR(VLOOKUP($I115,'Privacy Analyst Evaluation'!$A$46:$F$120,6,0),""))&amp;""</f>
        <v/>
      </c>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row>
    <row r="116" spans="1:338" x14ac:dyDescent="0.3">
      <c r="A116" s="209" t="str">
        <f>IFERROR(IF($A115+1&gt;'(backend scoring)'!$T$335,"",$A115+1),"")</f>
        <v/>
      </c>
      <c r="B116" s="209" t="str">
        <f>_xlfn.XLOOKUP($A116,'(backend scoring)'!$V$2:$V$333,'(backend scoring)'!$A$2:$A$333,"")</f>
        <v/>
      </c>
      <c r="C116" s="209" t="str">
        <f>IFERROR(VLOOKUP($B116,'Institution Evaluation'!$A$55:$F$345,2,0),IFERROR(VLOOKUP($B116,'Privacy Analyst Evaluation'!$A$46:$F$120,2,0),""))&amp;""</f>
        <v/>
      </c>
      <c r="D116" s="209" t="str">
        <f>IFERROR(VLOOKUP($B116,'Institution Evaluation'!$A$55:$F$345,3,0),IFERROR(VLOOKUP($B116,'Privacy Analyst Evaluation'!$A$46:$F$120,3,0),""))&amp;""</f>
        <v/>
      </c>
      <c r="E116" s="209" t="str">
        <f>IFERROR(VLOOKUP($B116,'Institution Evaluation'!$A$55:$F$345,4,0),IFERROR(VLOOKUP($B116,'Privacy Analyst Evaluation'!$A$46:$F$120,4,0),""))&amp;""</f>
        <v/>
      </c>
      <c r="F116" s="209" t="str">
        <f>IFERROR(VLOOKUP($B116,'Institution Evaluation'!$A$55:$F$345,6,0),IFERROR(VLOOKUP($B116,'Privacy Analyst Evaluation'!$A$46:$F$120,6,0),""))&amp;""</f>
        <v/>
      </c>
      <c r="G116" s="210"/>
      <c r="H116" s="209" t="str">
        <f>IFERROR(IF($H115+1&gt;'(backend scoring)'!$Q$335,"",$H115+1),"")</f>
        <v/>
      </c>
      <c r="I116" s="209" t="str">
        <f>_xlfn.XLOOKUP($H116,'(backend scoring)'!$S$2:$S$333,'(backend scoring)'!$A$2:$A$333,"")</f>
        <v/>
      </c>
      <c r="J116" s="209" t="str">
        <f>IFERROR(VLOOKUP($I116,'Institution Evaluation'!$A$55:$F$345,2,0),IFERROR(VLOOKUP($I116,'Privacy Analyst Evaluation'!$A$46:$F$120,2,0),""))</f>
        <v/>
      </c>
      <c r="K116" s="209" t="str">
        <f>IFERROR(VLOOKUP($I116,'Institution Evaluation'!$A$55:$F$345,3,0),IFERROR(VLOOKUP($I116,'Privacy Analyst Evaluation'!$A$46:$F$120,3,0),""))&amp;""</f>
        <v/>
      </c>
      <c r="L116" s="209" t="str">
        <f>IFERROR(VLOOKUP($I116,'Institution Evaluation'!$A$55:$F$345,4,0),IFERROR(VLOOKUP($I116,'Privacy Analyst Evaluation'!$A$46:$F$120,4,0),""))&amp;""</f>
        <v/>
      </c>
      <c r="M116" s="209" t="str">
        <f>IFERROR(VLOOKUP($I116,'Institution Evaluation'!$A$55:$F$345,6,0),IFERROR(VLOOKUP($I116,'Privacy Analyst Evaluation'!$A$46:$F$120,6,0),""))&amp;""</f>
        <v/>
      </c>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row>
    <row r="117" spans="1:338" x14ac:dyDescent="0.3">
      <c r="A117" s="209" t="str">
        <f>IFERROR(IF($A116+1&gt;'(backend scoring)'!$T$335,"",$A116+1),"")</f>
        <v/>
      </c>
      <c r="B117" s="209" t="str">
        <f>_xlfn.XLOOKUP($A117,'(backend scoring)'!$V$2:$V$333,'(backend scoring)'!$A$2:$A$333,"")</f>
        <v/>
      </c>
      <c r="C117" s="209" t="str">
        <f>IFERROR(VLOOKUP($B117,'Institution Evaluation'!$A$55:$F$345,2,0),IFERROR(VLOOKUP($B117,'Privacy Analyst Evaluation'!$A$46:$F$120,2,0),""))&amp;""</f>
        <v/>
      </c>
      <c r="D117" s="209" t="str">
        <f>IFERROR(VLOOKUP($B117,'Institution Evaluation'!$A$55:$F$345,3,0),IFERROR(VLOOKUP($B117,'Privacy Analyst Evaluation'!$A$46:$F$120,3,0),""))&amp;""</f>
        <v/>
      </c>
      <c r="E117" s="209" t="str">
        <f>IFERROR(VLOOKUP($B117,'Institution Evaluation'!$A$55:$F$345,4,0),IFERROR(VLOOKUP($B117,'Privacy Analyst Evaluation'!$A$46:$F$120,4,0),""))&amp;""</f>
        <v/>
      </c>
      <c r="F117" s="209" t="str">
        <f>IFERROR(VLOOKUP($B117,'Institution Evaluation'!$A$55:$F$345,6,0),IFERROR(VLOOKUP($B117,'Privacy Analyst Evaluation'!$A$46:$F$120,6,0),""))&amp;""</f>
        <v/>
      </c>
      <c r="G117" s="210"/>
      <c r="H117" s="209" t="str">
        <f>IFERROR(IF($H116+1&gt;'(backend scoring)'!$Q$335,"",$H116+1),"")</f>
        <v/>
      </c>
      <c r="I117" s="209" t="str">
        <f>_xlfn.XLOOKUP($H117,'(backend scoring)'!$S$2:$S$333,'(backend scoring)'!$A$2:$A$333,"")</f>
        <v/>
      </c>
      <c r="J117" s="209" t="str">
        <f>IFERROR(VLOOKUP($I117,'Institution Evaluation'!$A$55:$F$345,2,0),IFERROR(VLOOKUP($I117,'Privacy Analyst Evaluation'!$A$46:$F$120,2,0),""))</f>
        <v/>
      </c>
      <c r="K117" s="209" t="str">
        <f>IFERROR(VLOOKUP($I117,'Institution Evaluation'!$A$55:$F$345,3,0),IFERROR(VLOOKUP($I117,'Privacy Analyst Evaluation'!$A$46:$F$120,3,0),""))&amp;""</f>
        <v/>
      </c>
      <c r="L117" s="209" t="str">
        <f>IFERROR(VLOOKUP($I117,'Institution Evaluation'!$A$55:$F$345,4,0),IFERROR(VLOOKUP($I117,'Privacy Analyst Evaluation'!$A$46:$F$120,4,0),""))&amp;""</f>
        <v/>
      </c>
      <c r="M117" s="209" t="str">
        <f>IFERROR(VLOOKUP($I117,'Institution Evaluation'!$A$55:$F$345,6,0),IFERROR(VLOOKUP($I117,'Privacy Analyst Evaluation'!$A$46:$F$120,6,0),""))&amp;""</f>
        <v/>
      </c>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row>
    <row r="118" spans="1:338" x14ac:dyDescent="0.3">
      <c r="A118" s="209" t="str">
        <f>IFERROR(IF($A117+1&gt;'(backend scoring)'!$T$335,"",$A117+1),"")</f>
        <v/>
      </c>
      <c r="B118" s="209" t="str">
        <f>_xlfn.XLOOKUP($A118,'(backend scoring)'!$V$2:$V$333,'(backend scoring)'!$A$2:$A$333,"")</f>
        <v/>
      </c>
      <c r="C118" s="209" t="str">
        <f>IFERROR(VLOOKUP($B118,'Institution Evaluation'!$A$55:$F$345,2,0),IFERROR(VLOOKUP($B118,'Privacy Analyst Evaluation'!$A$46:$F$120,2,0),""))&amp;""</f>
        <v/>
      </c>
      <c r="D118" s="209" t="str">
        <f>IFERROR(VLOOKUP($B118,'Institution Evaluation'!$A$55:$F$345,3,0),IFERROR(VLOOKUP($B118,'Privacy Analyst Evaluation'!$A$46:$F$120,3,0),""))&amp;""</f>
        <v/>
      </c>
      <c r="E118" s="209" t="str">
        <f>IFERROR(VLOOKUP($B118,'Institution Evaluation'!$A$55:$F$345,4,0),IFERROR(VLOOKUP($B118,'Privacy Analyst Evaluation'!$A$46:$F$120,4,0),""))&amp;""</f>
        <v/>
      </c>
      <c r="F118" s="209" t="str">
        <f>IFERROR(VLOOKUP($B118,'Institution Evaluation'!$A$55:$F$345,6,0),IFERROR(VLOOKUP($B118,'Privacy Analyst Evaluation'!$A$46:$F$120,6,0),""))&amp;""</f>
        <v/>
      </c>
      <c r="G118" s="210"/>
      <c r="H118" s="209" t="str">
        <f>IFERROR(IF($H117+1&gt;'(backend scoring)'!$Q$335,"",$H117+1),"")</f>
        <v/>
      </c>
      <c r="I118" s="209" t="str">
        <f>_xlfn.XLOOKUP($H118,'(backend scoring)'!$S$2:$S$333,'(backend scoring)'!$A$2:$A$333,"")</f>
        <v/>
      </c>
      <c r="J118" s="209" t="str">
        <f>IFERROR(VLOOKUP($I118,'Institution Evaluation'!$A$55:$F$345,2,0),IFERROR(VLOOKUP($I118,'Privacy Analyst Evaluation'!$A$46:$F$120,2,0),""))</f>
        <v/>
      </c>
      <c r="K118" s="209" t="str">
        <f>IFERROR(VLOOKUP($I118,'Institution Evaluation'!$A$55:$F$345,3,0),IFERROR(VLOOKUP($I118,'Privacy Analyst Evaluation'!$A$46:$F$120,3,0),""))&amp;""</f>
        <v/>
      </c>
      <c r="L118" s="209" t="str">
        <f>IFERROR(VLOOKUP($I118,'Institution Evaluation'!$A$55:$F$345,4,0),IFERROR(VLOOKUP($I118,'Privacy Analyst Evaluation'!$A$46:$F$120,4,0),""))&amp;""</f>
        <v/>
      </c>
      <c r="M118" s="209" t="str">
        <f>IFERROR(VLOOKUP($I118,'Institution Evaluation'!$A$55:$F$345,6,0),IFERROR(VLOOKUP($I118,'Privacy Analyst Evaluation'!$A$46:$F$120,6,0),""))&amp;""</f>
        <v/>
      </c>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row>
    <row r="119" spans="1:338" x14ac:dyDescent="0.3">
      <c r="A119" s="209" t="str">
        <f>IFERROR(IF($A118+1&gt;'(backend scoring)'!$T$335,"",$A118+1),"")</f>
        <v/>
      </c>
      <c r="B119" s="209" t="str">
        <f>_xlfn.XLOOKUP($A119,'(backend scoring)'!$V$2:$V$333,'(backend scoring)'!$A$2:$A$333,"")</f>
        <v/>
      </c>
      <c r="C119" s="209" t="str">
        <f>IFERROR(VLOOKUP($B119,'Institution Evaluation'!$A$55:$F$345,2,0),IFERROR(VLOOKUP($B119,'Privacy Analyst Evaluation'!$A$46:$F$120,2,0),""))&amp;""</f>
        <v/>
      </c>
      <c r="D119" s="209" t="str">
        <f>IFERROR(VLOOKUP($B119,'Institution Evaluation'!$A$55:$F$345,3,0),IFERROR(VLOOKUP($B119,'Privacy Analyst Evaluation'!$A$46:$F$120,3,0),""))&amp;""</f>
        <v/>
      </c>
      <c r="E119" s="209" t="str">
        <f>IFERROR(VLOOKUP($B119,'Institution Evaluation'!$A$55:$F$345,4,0),IFERROR(VLOOKUP($B119,'Privacy Analyst Evaluation'!$A$46:$F$120,4,0),""))&amp;""</f>
        <v/>
      </c>
      <c r="F119" s="209" t="str">
        <f>IFERROR(VLOOKUP($B119,'Institution Evaluation'!$A$55:$F$345,6,0),IFERROR(VLOOKUP($B119,'Privacy Analyst Evaluation'!$A$46:$F$120,6,0),""))&amp;""</f>
        <v/>
      </c>
      <c r="G119" s="210"/>
      <c r="H119" s="209" t="str">
        <f>IFERROR(IF($H118+1&gt;'(backend scoring)'!$Q$335,"",$H118+1),"")</f>
        <v/>
      </c>
      <c r="I119" s="209" t="str">
        <f>_xlfn.XLOOKUP($H119,'(backend scoring)'!$S$2:$S$333,'(backend scoring)'!$A$2:$A$333,"")</f>
        <v/>
      </c>
      <c r="J119" s="209" t="str">
        <f>IFERROR(VLOOKUP($I119,'Institution Evaluation'!$A$55:$F$345,2,0),IFERROR(VLOOKUP($I119,'Privacy Analyst Evaluation'!$A$46:$F$120,2,0),""))</f>
        <v/>
      </c>
      <c r="K119" s="209" t="str">
        <f>IFERROR(VLOOKUP($I119,'Institution Evaluation'!$A$55:$F$345,3,0),IFERROR(VLOOKUP($I119,'Privacy Analyst Evaluation'!$A$46:$F$120,3,0),""))&amp;""</f>
        <v/>
      </c>
      <c r="L119" s="209" t="str">
        <f>IFERROR(VLOOKUP($I119,'Institution Evaluation'!$A$55:$F$345,4,0),IFERROR(VLOOKUP($I119,'Privacy Analyst Evaluation'!$A$46:$F$120,4,0),""))&amp;""</f>
        <v/>
      </c>
      <c r="M119" s="209" t="str">
        <f>IFERROR(VLOOKUP($I119,'Institution Evaluation'!$A$55:$F$345,6,0),IFERROR(VLOOKUP($I119,'Privacy Analyst Evaluation'!$A$46:$F$120,6,0),""))&amp;""</f>
        <v/>
      </c>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row>
    <row r="120" spans="1:338" x14ac:dyDescent="0.3">
      <c r="A120" s="209" t="str">
        <f>IFERROR(IF($A119+1&gt;'(backend scoring)'!$T$335,"",$A119+1),"")</f>
        <v/>
      </c>
      <c r="B120" s="209" t="str">
        <f>_xlfn.XLOOKUP($A120,'(backend scoring)'!$V$2:$V$333,'(backend scoring)'!$A$2:$A$333,"")</f>
        <v/>
      </c>
      <c r="C120" s="209" t="str">
        <f>IFERROR(VLOOKUP($B120,'Institution Evaluation'!$A$55:$F$345,2,0),IFERROR(VLOOKUP($B120,'Privacy Analyst Evaluation'!$A$46:$F$120,2,0),""))&amp;""</f>
        <v/>
      </c>
      <c r="D120" s="209" t="str">
        <f>IFERROR(VLOOKUP($B120,'Institution Evaluation'!$A$55:$F$345,3,0),IFERROR(VLOOKUP($B120,'Privacy Analyst Evaluation'!$A$46:$F$120,3,0),""))&amp;""</f>
        <v/>
      </c>
      <c r="E120" s="209" t="str">
        <f>IFERROR(VLOOKUP($B120,'Institution Evaluation'!$A$55:$F$345,4,0),IFERROR(VLOOKUP($B120,'Privacy Analyst Evaluation'!$A$46:$F$120,4,0),""))&amp;""</f>
        <v/>
      </c>
      <c r="F120" s="209" t="str">
        <f>IFERROR(VLOOKUP($B120,'Institution Evaluation'!$A$55:$F$345,6,0),IFERROR(VLOOKUP($B120,'Privacy Analyst Evaluation'!$A$46:$F$120,6,0),""))&amp;""</f>
        <v/>
      </c>
      <c r="G120" s="210"/>
      <c r="H120" s="209" t="str">
        <f>IFERROR(IF($H119+1&gt;'(backend scoring)'!$Q$335,"",$H119+1),"")</f>
        <v/>
      </c>
      <c r="I120" s="209" t="str">
        <f>_xlfn.XLOOKUP($H120,'(backend scoring)'!$S$2:$S$333,'(backend scoring)'!$A$2:$A$333,"")</f>
        <v/>
      </c>
      <c r="J120" s="209" t="str">
        <f>IFERROR(VLOOKUP($I120,'Institution Evaluation'!$A$55:$F$345,2,0),IFERROR(VLOOKUP($I120,'Privacy Analyst Evaluation'!$A$46:$F$120,2,0),""))</f>
        <v/>
      </c>
      <c r="K120" s="209" t="str">
        <f>IFERROR(VLOOKUP($I120,'Institution Evaluation'!$A$55:$F$345,3,0),IFERROR(VLOOKUP($I120,'Privacy Analyst Evaluation'!$A$46:$F$120,3,0),""))&amp;""</f>
        <v/>
      </c>
      <c r="L120" s="209" t="str">
        <f>IFERROR(VLOOKUP($I120,'Institution Evaluation'!$A$55:$F$345,4,0),IFERROR(VLOOKUP($I120,'Privacy Analyst Evaluation'!$A$46:$F$120,4,0),""))&amp;""</f>
        <v/>
      </c>
      <c r="M120" s="209" t="str">
        <f>IFERROR(VLOOKUP($I120,'Institution Evaluation'!$A$55:$F$345,6,0),IFERROR(VLOOKUP($I120,'Privacy Analyst Evaluation'!$A$46:$F$120,6,0),""))&amp;""</f>
        <v/>
      </c>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row>
    <row r="121" spans="1:338" x14ac:dyDescent="0.3">
      <c r="A121" s="209" t="str">
        <f>IFERROR(IF($A120+1&gt;'(backend scoring)'!$T$335,"",$A120+1),"")</f>
        <v/>
      </c>
      <c r="B121" s="209" t="str">
        <f>_xlfn.XLOOKUP($A121,'(backend scoring)'!$V$2:$V$333,'(backend scoring)'!$A$2:$A$333,"")</f>
        <v/>
      </c>
      <c r="C121" s="209" t="str">
        <f>IFERROR(VLOOKUP($B121,'Institution Evaluation'!$A$55:$F$345,2,0),IFERROR(VLOOKUP($B121,'Privacy Analyst Evaluation'!$A$46:$F$120,2,0),""))&amp;""</f>
        <v/>
      </c>
      <c r="D121" s="209" t="str">
        <f>IFERROR(VLOOKUP($B121,'Institution Evaluation'!$A$55:$F$345,3,0),IFERROR(VLOOKUP($B121,'Privacy Analyst Evaluation'!$A$46:$F$120,3,0),""))&amp;""</f>
        <v/>
      </c>
      <c r="E121" s="209" t="str">
        <f>IFERROR(VLOOKUP($B121,'Institution Evaluation'!$A$55:$F$345,4,0),IFERROR(VLOOKUP($B121,'Privacy Analyst Evaluation'!$A$46:$F$120,4,0),""))&amp;""</f>
        <v/>
      </c>
      <c r="F121" s="209" t="str">
        <f>IFERROR(VLOOKUP($B121,'Institution Evaluation'!$A$55:$F$345,6,0),IFERROR(VLOOKUP($B121,'Privacy Analyst Evaluation'!$A$46:$F$120,6,0),""))&amp;""</f>
        <v/>
      </c>
      <c r="G121" s="210"/>
      <c r="H121" s="209" t="str">
        <f>IFERROR(IF($H120+1&gt;'(backend scoring)'!$Q$335,"",$H120+1),"")</f>
        <v/>
      </c>
      <c r="I121" s="209" t="str">
        <f>_xlfn.XLOOKUP($H121,'(backend scoring)'!$S$2:$S$333,'(backend scoring)'!$A$2:$A$333,"")</f>
        <v/>
      </c>
      <c r="J121" s="209" t="str">
        <f>IFERROR(VLOOKUP($I121,'Institution Evaluation'!$A$55:$F$345,2,0),IFERROR(VLOOKUP($I121,'Privacy Analyst Evaluation'!$A$46:$F$120,2,0),""))</f>
        <v/>
      </c>
      <c r="K121" s="209" t="str">
        <f>IFERROR(VLOOKUP($I121,'Institution Evaluation'!$A$55:$F$345,3,0),IFERROR(VLOOKUP($I121,'Privacy Analyst Evaluation'!$A$46:$F$120,3,0),""))&amp;""</f>
        <v/>
      </c>
      <c r="L121" s="209" t="str">
        <f>IFERROR(VLOOKUP($I121,'Institution Evaluation'!$A$55:$F$345,4,0),IFERROR(VLOOKUP($I121,'Privacy Analyst Evaluation'!$A$46:$F$120,4,0),""))&amp;""</f>
        <v/>
      </c>
      <c r="M121" s="209" t="str">
        <f>IFERROR(VLOOKUP($I121,'Institution Evaluation'!$A$55:$F$345,6,0),IFERROR(VLOOKUP($I121,'Privacy Analyst Evaluation'!$A$46:$F$120,6,0),""))&amp;""</f>
        <v/>
      </c>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row>
    <row r="122" spans="1:338" x14ac:dyDescent="0.3">
      <c r="A122" s="209" t="str">
        <f>IFERROR(IF($A121+1&gt;'(backend scoring)'!$T$335,"",$A121+1),"")</f>
        <v/>
      </c>
      <c r="B122" s="209" t="str">
        <f>_xlfn.XLOOKUP($A122,'(backend scoring)'!$V$2:$V$333,'(backend scoring)'!$A$2:$A$333,"")</f>
        <v/>
      </c>
      <c r="C122" s="209" t="str">
        <f>IFERROR(VLOOKUP($B122,'Institution Evaluation'!$A$55:$F$345,2,0),IFERROR(VLOOKUP($B122,'Privacy Analyst Evaluation'!$A$46:$F$120,2,0),""))&amp;""</f>
        <v/>
      </c>
      <c r="D122" s="209" t="str">
        <f>IFERROR(VLOOKUP($B122,'Institution Evaluation'!$A$55:$F$345,3,0),IFERROR(VLOOKUP($B122,'Privacy Analyst Evaluation'!$A$46:$F$120,3,0),""))&amp;""</f>
        <v/>
      </c>
      <c r="E122" s="209" t="str">
        <f>IFERROR(VLOOKUP($B122,'Institution Evaluation'!$A$55:$F$345,4,0),IFERROR(VLOOKUP($B122,'Privacy Analyst Evaluation'!$A$46:$F$120,4,0),""))&amp;""</f>
        <v/>
      </c>
      <c r="F122" s="209" t="str">
        <f>IFERROR(VLOOKUP($B122,'Institution Evaluation'!$A$55:$F$345,6,0),IFERROR(VLOOKUP($B122,'Privacy Analyst Evaluation'!$A$46:$F$120,6,0),""))&amp;""</f>
        <v/>
      </c>
      <c r="G122" s="210"/>
      <c r="H122" s="209" t="str">
        <f>IFERROR(IF($H121+1&gt;'(backend scoring)'!$Q$335,"",$H121+1),"")</f>
        <v/>
      </c>
      <c r="I122" s="209" t="str">
        <f>_xlfn.XLOOKUP($H122,'(backend scoring)'!$S$2:$S$333,'(backend scoring)'!$A$2:$A$333,"")</f>
        <v/>
      </c>
      <c r="J122" s="209" t="str">
        <f>IFERROR(VLOOKUP($I122,'Institution Evaluation'!$A$55:$F$345,2,0),IFERROR(VLOOKUP($I122,'Privacy Analyst Evaluation'!$A$46:$F$120,2,0),""))</f>
        <v/>
      </c>
      <c r="K122" s="209" t="str">
        <f>IFERROR(VLOOKUP($I122,'Institution Evaluation'!$A$55:$F$345,3,0),IFERROR(VLOOKUP($I122,'Privacy Analyst Evaluation'!$A$46:$F$120,3,0),""))&amp;""</f>
        <v/>
      </c>
      <c r="L122" s="209" t="str">
        <f>IFERROR(VLOOKUP($I122,'Institution Evaluation'!$A$55:$F$345,4,0),IFERROR(VLOOKUP($I122,'Privacy Analyst Evaluation'!$A$46:$F$120,4,0),""))&amp;""</f>
        <v/>
      </c>
      <c r="M122" s="209" t="str">
        <f>IFERROR(VLOOKUP($I122,'Institution Evaluation'!$A$55:$F$345,6,0),IFERROR(VLOOKUP($I122,'Privacy Analyst Evaluation'!$A$46:$F$120,6,0),""))&amp;""</f>
        <v/>
      </c>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row>
    <row r="123" spans="1:338" x14ac:dyDescent="0.3">
      <c r="A123" s="209" t="str">
        <f>IFERROR(IF($A122+1&gt;'(backend scoring)'!$T$335,"",$A122+1),"")</f>
        <v/>
      </c>
      <c r="B123" s="209" t="str">
        <f>_xlfn.XLOOKUP($A123,'(backend scoring)'!$V$2:$V$333,'(backend scoring)'!$A$2:$A$333,"")</f>
        <v/>
      </c>
      <c r="C123" s="209" t="str">
        <f>IFERROR(VLOOKUP($B123,'Institution Evaluation'!$A$55:$F$345,2,0),IFERROR(VLOOKUP($B123,'Privacy Analyst Evaluation'!$A$46:$F$120,2,0),""))&amp;""</f>
        <v/>
      </c>
      <c r="D123" s="209" t="str">
        <f>IFERROR(VLOOKUP($B123,'Institution Evaluation'!$A$55:$F$345,3,0),IFERROR(VLOOKUP($B123,'Privacy Analyst Evaluation'!$A$46:$F$120,3,0),""))&amp;""</f>
        <v/>
      </c>
      <c r="E123" s="209" t="str">
        <f>IFERROR(VLOOKUP($B123,'Institution Evaluation'!$A$55:$F$345,4,0),IFERROR(VLOOKUP($B123,'Privacy Analyst Evaluation'!$A$46:$F$120,4,0),""))&amp;""</f>
        <v/>
      </c>
      <c r="F123" s="209" t="str">
        <f>IFERROR(VLOOKUP($B123,'Institution Evaluation'!$A$55:$F$345,6,0),IFERROR(VLOOKUP($B123,'Privacy Analyst Evaluation'!$A$46:$F$120,6,0),""))&amp;""</f>
        <v/>
      </c>
      <c r="G123" s="210"/>
      <c r="H123" s="209" t="str">
        <f>IFERROR(IF($H122+1&gt;'(backend scoring)'!$Q$335,"",$H122+1),"")</f>
        <v/>
      </c>
      <c r="I123" s="209" t="str">
        <f>_xlfn.XLOOKUP($H123,'(backend scoring)'!$S$2:$S$333,'(backend scoring)'!$A$2:$A$333,"")</f>
        <v/>
      </c>
      <c r="J123" s="209" t="str">
        <f>IFERROR(VLOOKUP($I123,'Institution Evaluation'!$A$55:$F$345,2,0),IFERROR(VLOOKUP($I123,'Privacy Analyst Evaluation'!$A$46:$F$120,2,0),""))</f>
        <v/>
      </c>
      <c r="K123" s="209" t="str">
        <f>IFERROR(VLOOKUP($I123,'Institution Evaluation'!$A$55:$F$345,3,0),IFERROR(VLOOKUP($I123,'Privacy Analyst Evaluation'!$A$46:$F$120,3,0),""))&amp;""</f>
        <v/>
      </c>
      <c r="L123" s="209" t="str">
        <f>IFERROR(VLOOKUP($I123,'Institution Evaluation'!$A$55:$F$345,4,0),IFERROR(VLOOKUP($I123,'Privacy Analyst Evaluation'!$A$46:$F$120,4,0),""))&amp;""</f>
        <v/>
      </c>
      <c r="M123" s="209" t="str">
        <f>IFERROR(VLOOKUP($I123,'Institution Evaluation'!$A$55:$F$345,6,0),IFERROR(VLOOKUP($I123,'Privacy Analyst Evaluation'!$A$46:$F$120,6,0),""))&amp;""</f>
        <v/>
      </c>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row>
    <row r="124" spans="1:338" x14ac:dyDescent="0.3">
      <c r="A124" s="209" t="str">
        <f>IFERROR(IF($A123+1&gt;'(backend scoring)'!$T$335,"",$A123+1),"")</f>
        <v/>
      </c>
      <c r="B124" s="209" t="str">
        <f>_xlfn.XLOOKUP($A124,'(backend scoring)'!$V$2:$V$333,'(backend scoring)'!$A$2:$A$333,"")</f>
        <v/>
      </c>
      <c r="C124" s="209" t="str">
        <f>IFERROR(VLOOKUP($B124,'Institution Evaluation'!$A$55:$F$345,2,0),IFERROR(VLOOKUP($B124,'Privacy Analyst Evaluation'!$A$46:$F$120,2,0),""))&amp;""</f>
        <v/>
      </c>
      <c r="D124" s="209" t="str">
        <f>IFERROR(VLOOKUP($B124,'Institution Evaluation'!$A$55:$F$345,3,0),IFERROR(VLOOKUP($B124,'Privacy Analyst Evaluation'!$A$46:$F$120,3,0),""))&amp;""</f>
        <v/>
      </c>
      <c r="E124" s="209" t="str">
        <f>IFERROR(VLOOKUP($B124,'Institution Evaluation'!$A$55:$F$345,4,0),IFERROR(VLOOKUP($B124,'Privacy Analyst Evaluation'!$A$46:$F$120,4,0),""))&amp;""</f>
        <v/>
      </c>
      <c r="F124" s="209" t="str">
        <f>IFERROR(VLOOKUP($B124,'Institution Evaluation'!$A$55:$F$345,6,0),IFERROR(VLOOKUP($B124,'Privacy Analyst Evaluation'!$A$46:$F$120,6,0),""))&amp;""</f>
        <v/>
      </c>
      <c r="G124" s="210"/>
      <c r="H124" s="209" t="str">
        <f>IFERROR(IF($H123+1&gt;'(backend scoring)'!$Q$335,"",$H123+1),"")</f>
        <v/>
      </c>
      <c r="I124" s="209" t="str">
        <f>_xlfn.XLOOKUP($H124,'(backend scoring)'!$S$2:$S$333,'(backend scoring)'!$A$2:$A$333,"")</f>
        <v/>
      </c>
      <c r="J124" s="209" t="str">
        <f>IFERROR(VLOOKUP($I124,'Institution Evaluation'!$A$55:$F$345,2,0),IFERROR(VLOOKUP($I124,'Privacy Analyst Evaluation'!$A$46:$F$120,2,0),""))</f>
        <v/>
      </c>
      <c r="K124" s="209" t="str">
        <f>IFERROR(VLOOKUP($I124,'Institution Evaluation'!$A$55:$F$345,3,0),IFERROR(VLOOKUP($I124,'Privacy Analyst Evaluation'!$A$46:$F$120,3,0),""))&amp;""</f>
        <v/>
      </c>
      <c r="L124" s="209" t="str">
        <f>IFERROR(VLOOKUP($I124,'Institution Evaluation'!$A$55:$F$345,4,0),IFERROR(VLOOKUP($I124,'Privacy Analyst Evaluation'!$A$46:$F$120,4,0),""))&amp;""</f>
        <v/>
      </c>
      <c r="M124" s="209" t="str">
        <f>IFERROR(VLOOKUP($I124,'Institution Evaluation'!$A$55:$F$345,6,0),IFERROR(VLOOKUP($I124,'Privacy Analyst Evaluation'!$A$46:$F$120,6,0),""))&amp;""</f>
        <v/>
      </c>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row>
    <row r="125" spans="1:338" x14ac:dyDescent="0.3">
      <c r="A125" s="209" t="str">
        <f>IFERROR(IF($A124+1&gt;'(backend scoring)'!$T$335,"",$A124+1),"")</f>
        <v/>
      </c>
      <c r="B125" s="209" t="str">
        <f>_xlfn.XLOOKUP($A125,'(backend scoring)'!$V$2:$V$333,'(backend scoring)'!$A$2:$A$333,"")</f>
        <v/>
      </c>
      <c r="C125" s="209" t="str">
        <f>IFERROR(VLOOKUP($B125,'Institution Evaluation'!$A$55:$F$345,2,0),IFERROR(VLOOKUP($B125,'Privacy Analyst Evaluation'!$A$46:$F$120,2,0),""))&amp;""</f>
        <v/>
      </c>
      <c r="D125" s="209" t="str">
        <f>IFERROR(VLOOKUP($B125,'Institution Evaluation'!$A$55:$F$345,3,0),IFERROR(VLOOKUP($B125,'Privacy Analyst Evaluation'!$A$46:$F$120,3,0),""))&amp;""</f>
        <v/>
      </c>
      <c r="E125" s="209" t="str">
        <f>IFERROR(VLOOKUP($B125,'Institution Evaluation'!$A$55:$F$345,4,0),IFERROR(VLOOKUP($B125,'Privacy Analyst Evaluation'!$A$46:$F$120,4,0),""))&amp;""</f>
        <v/>
      </c>
      <c r="F125" s="209" t="str">
        <f>IFERROR(VLOOKUP($B125,'Institution Evaluation'!$A$55:$F$345,6,0),IFERROR(VLOOKUP($B125,'Privacy Analyst Evaluation'!$A$46:$F$120,6,0),""))&amp;""</f>
        <v/>
      </c>
      <c r="G125" s="210"/>
      <c r="H125" s="209" t="str">
        <f>IFERROR(IF($H124+1&gt;'(backend scoring)'!$Q$335,"",$H124+1),"")</f>
        <v/>
      </c>
      <c r="I125" s="209" t="str">
        <f>_xlfn.XLOOKUP($H125,'(backend scoring)'!$S$2:$S$333,'(backend scoring)'!$A$2:$A$333,"")</f>
        <v/>
      </c>
      <c r="J125" s="209" t="str">
        <f>IFERROR(VLOOKUP($I125,'Institution Evaluation'!$A$55:$F$345,2,0),IFERROR(VLOOKUP($I125,'Privacy Analyst Evaluation'!$A$46:$F$120,2,0),""))</f>
        <v/>
      </c>
      <c r="K125" s="209" t="str">
        <f>IFERROR(VLOOKUP($I125,'Institution Evaluation'!$A$55:$F$345,3,0),IFERROR(VLOOKUP($I125,'Privacy Analyst Evaluation'!$A$46:$F$120,3,0),""))&amp;""</f>
        <v/>
      </c>
      <c r="L125" s="209" t="str">
        <f>IFERROR(VLOOKUP($I125,'Institution Evaluation'!$A$55:$F$345,4,0),IFERROR(VLOOKUP($I125,'Privacy Analyst Evaluation'!$A$46:$F$120,4,0),""))&amp;""</f>
        <v/>
      </c>
      <c r="M125" s="209" t="str">
        <f>IFERROR(VLOOKUP($I125,'Institution Evaluation'!$A$55:$F$345,6,0),IFERROR(VLOOKUP($I125,'Privacy Analyst Evaluation'!$A$46:$F$120,6,0),""))&amp;""</f>
        <v/>
      </c>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row>
    <row r="126" spans="1:338" x14ac:dyDescent="0.3">
      <c r="A126" s="209" t="str">
        <f>IFERROR(IF($A125+1&gt;'(backend scoring)'!$T$335,"",$A125+1),"")</f>
        <v/>
      </c>
      <c r="B126" s="209" t="str">
        <f>_xlfn.XLOOKUP($A126,'(backend scoring)'!$V$2:$V$333,'(backend scoring)'!$A$2:$A$333,"")</f>
        <v/>
      </c>
      <c r="C126" s="209" t="str">
        <f>IFERROR(VLOOKUP($B126,'Institution Evaluation'!$A$55:$F$345,2,0),IFERROR(VLOOKUP($B126,'Privacy Analyst Evaluation'!$A$46:$F$120,2,0),""))&amp;""</f>
        <v/>
      </c>
      <c r="D126" s="209" t="str">
        <f>IFERROR(VLOOKUP($B126,'Institution Evaluation'!$A$55:$F$345,3,0),IFERROR(VLOOKUP($B126,'Privacy Analyst Evaluation'!$A$46:$F$120,3,0),""))&amp;""</f>
        <v/>
      </c>
      <c r="E126" s="209" t="str">
        <f>IFERROR(VLOOKUP($B126,'Institution Evaluation'!$A$55:$F$345,4,0),IFERROR(VLOOKUP($B126,'Privacy Analyst Evaluation'!$A$46:$F$120,4,0),""))&amp;""</f>
        <v/>
      </c>
      <c r="F126" s="209" t="str">
        <f>IFERROR(VLOOKUP($B126,'Institution Evaluation'!$A$55:$F$345,6,0),IFERROR(VLOOKUP($B126,'Privacy Analyst Evaluation'!$A$46:$F$120,6,0),""))&amp;""</f>
        <v/>
      </c>
      <c r="G126" s="210"/>
      <c r="H126" s="209" t="str">
        <f>IFERROR(IF($H125+1&gt;'(backend scoring)'!$Q$335,"",$H125+1),"")</f>
        <v/>
      </c>
      <c r="I126" s="209" t="str">
        <f>_xlfn.XLOOKUP($H126,'(backend scoring)'!$S$2:$S$333,'(backend scoring)'!$A$2:$A$333,"")</f>
        <v/>
      </c>
      <c r="J126" s="209" t="str">
        <f>IFERROR(VLOOKUP($I126,'Institution Evaluation'!$A$55:$F$345,2,0),IFERROR(VLOOKUP($I126,'Privacy Analyst Evaluation'!$A$46:$F$120,2,0),""))</f>
        <v/>
      </c>
      <c r="K126" s="209" t="str">
        <f>IFERROR(VLOOKUP($I126,'Institution Evaluation'!$A$55:$F$345,3,0),IFERROR(VLOOKUP($I126,'Privacy Analyst Evaluation'!$A$46:$F$120,3,0),""))&amp;""</f>
        <v/>
      </c>
      <c r="L126" s="209" t="str">
        <f>IFERROR(VLOOKUP($I126,'Institution Evaluation'!$A$55:$F$345,4,0),IFERROR(VLOOKUP($I126,'Privacy Analyst Evaluation'!$A$46:$F$120,4,0),""))&amp;""</f>
        <v/>
      </c>
      <c r="M126" s="209" t="str">
        <f>IFERROR(VLOOKUP($I126,'Institution Evaluation'!$A$55:$F$345,6,0),IFERROR(VLOOKUP($I126,'Privacy Analyst Evaluation'!$A$46:$F$120,6,0),""))&amp;""</f>
        <v/>
      </c>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row>
    <row r="127" spans="1:338" x14ac:dyDescent="0.3">
      <c r="A127" s="209" t="str">
        <f>IFERROR(IF($A126+1&gt;'(backend scoring)'!$T$335,"",$A126+1),"")</f>
        <v/>
      </c>
      <c r="B127" s="209" t="str">
        <f>_xlfn.XLOOKUP($A127,'(backend scoring)'!$V$2:$V$333,'(backend scoring)'!$A$2:$A$333,"")</f>
        <v/>
      </c>
      <c r="C127" s="209" t="str">
        <f>IFERROR(VLOOKUP($B127,'Institution Evaluation'!$A$55:$F$345,2,0),IFERROR(VLOOKUP($B127,'Privacy Analyst Evaluation'!$A$46:$F$120,2,0),""))&amp;""</f>
        <v/>
      </c>
      <c r="D127" s="209" t="str">
        <f>IFERROR(VLOOKUP($B127,'Institution Evaluation'!$A$55:$F$345,3,0),IFERROR(VLOOKUP($B127,'Privacy Analyst Evaluation'!$A$46:$F$120,3,0),""))&amp;""</f>
        <v/>
      </c>
      <c r="E127" s="209" t="str">
        <f>IFERROR(VLOOKUP($B127,'Institution Evaluation'!$A$55:$F$345,4,0),IFERROR(VLOOKUP($B127,'Privacy Analyst Evaluation'!$A$46:$F$120,4,0),""))&amp;""</f>
        <v/>
      </c>
      <c r="F127" s="209" t="str">
        <f>IFERROR(VLOOKUP($B127,'Institution Evaluation'!$A$55:$F$345,6,0),IFERROR(VLOOKUP($B127,'Privacy Analyst Evaluation'!$A$46:$F$120,6,0),""))&amp;""</f>
        <v/>
      </c>
      <c r="G127" s="210"/>
      <c r="H127" s="209" t="str">
        <f>IFERROR(IF($H126+1&gt;'(backend scoring)'!$Q$335,"",$H126+1),"")</f>
        <v/>
      </c>
      <c r="I127" s="209" t="str">
        <f>_xlfn.XLOOKUP($H127,'(backend scoring)'!$S$2:$S$333,'(backend scoring)'!$A$2:$A$333,"")</f>
        <v/>
      </c>
      <c r="J127" s="209" t="str">
        <f>IFERROR(VLOOKUP($I127,'Institution Evaluation'!$A$55:$F$345,2,0),IFERROR(VLOOKUP($I127,'Privacy Analyst Evaluation'!$A$46:$F$120,2,0),""))</f>
        <v/>
      </c>
      <c r="K127" s="209" t="str">
        <f>IFERROR(VLOOKUP($I127,'Institution Evaluation'!$A$55:$F$345,3,0),IFERROR(VLOOKUP($I127,'Privacy Analyst Evaluation'!$A$46:$F$120,3,0),""))&amp;""</f>
        <v/>
      </c>
      <c r="L127" s="209" t="str">
        <f>IFERROR(VLOOKUP($I127,'Institution Evaluation'!$A$55:$F$345,4,0),IFERROR(VLOOKUP($I127,'Privacy Analyst Evaluation'!$A$46:$F$120,4,0),""))&amp;""</f>
        <v/>
      </c>
      <c r="M127" s="209" t="str">
        <f>IFERROR(VLOOKUP($I127,'Institution Evaluation'!$A$55:$F$345,6,0),IFERROR(VLOOKUP($I127,'Privacy Analyst Evaluation'!$A$46:$F$120,6,0),""))&amp;""</f>
        <v/>
      </c>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row>
    <row r="128" spans="1:338" x14ac:dyDescent="0.3">
      <c r="A128" s="209" t="str">
        <f>IFERROR(IF($A127+1&gt;'(backend scoring)'!$T$335,"",$A127+1),"")</f>
        <v/>
      </c>
      <c r="B128" s="209" t="str">
        <f>_xlfn.XLOOKUP($A128,'(backend scoring)'!$V$2:$V$333,'(backend scoring)'!$A$2:$A$333,"")</f>
        <v/>
      </c>
      <c r="C128" s="209" t="str">
        <f>IFERROR(VLOOKUP($B128,'Institution Evaluation'!$A$55:$F$345,2,0),IFERROR(VLOOKUP($B128,'Privacy Analyst Evaluation'!$A$46:$F$120,2,0),""))&amp;""</f>
        <v/>
      </c>
      <c r="D128" s="209" t="str">
        <f>IFERROR(VLOOKUP($B128,'Institution Evaluation'!$A$55:$F$345,3,0),IFERROR(VLOOKUP($B128,'Privacy Analyst Evaluation'!$A$46:$F$120,3,0),""))&amp;""</f>
        <v/>
      </c>
      <c r="E128" s="209" t="str">
        <f>IFERROR(VLOOKUP($B128,'Institution Evaluation'!$A$55:$F$345,4,0),IFERROR(VLOOKUP($B128,'Privacy Analyst Evaluation'!$A$46:$F$120,4,0),""))&amp;""</f>
        <v/>
      </c>
      <c r="F128" s="209" t="str">
        <f>IFERROR(VLOOKUP($B128,'Institution Evaluation'!$A$55:$F$345,6,0),IFERROR(VLOOKUP($B128,'Privacy Analyst Evaluation'!$A$46:$F$120,6,0),""))&amp;""</f>
        <v/>
      </c>
      <c r="G128" s="210"/>
      <c r="H128" s="209" t="str">
        <f>IFERROR(IF($H127+1&gt;'(backend scoring)'!$Q$335,"",$H127+1),"")</f>
        <v/>
      </c>
      <c r="I128" s="209" t="str">
        <f>_xlfn.XLOOKUP($H128,'(backend scoring)'!$S$2:$S$333,'(backend scoring)'!$A$2:$A$333,"")</f>
        <v/>
      </c>
      <c r="J128" s="209" t="str">
        <f>IFERROR(VLOOKUP($I128,'Institution Evaluation'!$A$55:$F$345,2,0),IFERROR(VLOOKUP($I128,'Privacy Analyst Evaluation'!$A$46:$F$120,2,0),""))</f>
        <v/>
      </c>
      <c r="K128" s="209" t="str">
        <f>IFERROR(VLOOKUP($I128,'Institution Evaluation'!$A$55:$F$345,3,0),IFERROR(VLOOKUP($I128,'Privacy Analyst Evaluation'!$A$46:$F$120,3,0),""))&amp;""</f>
        <v/>
      </c>
      <c r="L128" s="209" t="str">
        <f>IFERROR(VLOOKUP($I128,'Institution Evaluation'!$A$55:$F$345,4,0),IFERROR(VLOOKUP($I128,'Privacy Analyst Evaluation'!$A$46:$F$120,4,0),""))&amp;""</f>
        <v/>
      </c>
      <c r="M128" s="209" t="str">
        <f>IFERROR(VLOOKUP($I128,'Institution Evaluation'!$A$55:$F$345,6,0),IFERROR(VLOOKUP($I128,'Privacy Analyst Evaluation'!$A$46:$F$120,6,0),""))&amp;""</f>
        <v/>
      </c>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row>
    <row r="129" spans="1:338" x14ac:dyDescent="0.3">
      <c r="A129" s="209" t="str">
        <f>IFERROR(IF($A128+1&gt;'(backend scoring)'!$T$335,"",$A128+1),"")</f>
        <v/>
      </c>
      <c r="B129" s="209" t="str">
        <f>_xlfn.XLOOKUP($A129,'(backend scoring)'!$V$2:$V$333,'(backend scoring)'!$A$2:$A$333,"")</f>
        <v/>
      </c>
      <c r="C129" s="209" t="str">
        <f>IFERROR(VLOOKUP($B129,'Institution Evaluation'!$A$55:$F$345,2,0),IFERROR(VLOOKUP($B129,'Privacy Analyst Evaluation'!$A$46:$F$120,2,0),""))&amp;""</f>
        <v/>
      </c>
      <c r="D129" s="209" t="str">
        <f>IFERROR(VLOOKUP($B129,'Institution Evaluation'!$A$55:$F$345,3,0),IFERROR(VLOOKUP($B129,'Privacy Analyst Evaluation'!$A$46:$F$120,3,0),""))&amp;""</f>
        <v/>
      </c>
      <c r="E129" s="209" t="str">
        <f>IFERROR(VLOOKUP($B129,'Institution Evaluation'!$A$55:$F$345,4,0),IFERROR(VLOOKUP($B129,'Privacy Analyst Evaluation'!$A$46:$F$120,4,0),""))&amp;""</f>
        <v/>
      </c>
      <c r="F129" s="209" t="str">
        <f>IFERROR(VLOOKUP($B129,'Institution Evaluation'!$A$55:$F$345,6,0),IFERROR(VLOOKUP($B129,'Privacy Analyst Evaluation'!$A$46:$F$120,6,0),""))&amp;""</f>
        <v/>
      </c>
      <c r="G129" s="210"/>
      <c r="H129" s="209" t="str">
        <f>IFERROR(IF($H128+1&gt;'(backend scoring)'!$Q$335,"",$H128+1),"")</f>
        <v/>
      </c>
      <c r="I129" s="209" t="str">
        <f>_xlfn.XLOOKUP($H129,'(backend scoring)'!$S$2:$S$333,'(backend scoring)'!$A$2:$A$333,"")</f>
        <v/>
      </c>
      <c r="J129" s="209" t="str">
        <f>IFERROR(VLOOKUP($I129,'Institution Evaluation'!$A$55:$F$345,2,0),IFERROR(VLOOKUP($I129,'Privacy Analyst Evaluation'!$A$46:$F$120,2,0),""))</f>
        <v/>
      </c>
      <c r="K129" s="209" t="str">
        <f>IFERROR(VLOOKUP($I129,'Institution Evaluation'!$A$55:$F$345,3,0),IFERROR(VLOOKUP($I129,'Privacy Analyst Evaluation'!$A$46:$F$120,3,0),""))&amp;""</f>
        <v/>
      </c>
      <c r="L129" s="209" t="str">
        <f>IFERROR(VLOOKUP($I129,'Institution Evaluation'!$A$55:$F$345,4,0),IFERROR(VLOOKUP($I129,'Privacy Analyst Evaluation'!$A$46:$F$120,4,0),""))&amp;""</f>
        <v/>
      </c>
      <c r="M129" s="209" t="str">
        <f>IFERROR(VLOOKUP($I129,'Institution Evaluation'!$A$55:$F$345,6,0),IFERROR(VLOOKUP($I129,'Privacy Analyst Evaluation'!$A$46:$F$120,6,0),""))&amp;""</f>
        <v/>
      </c>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row>
    <row r="130" spans="1:338" x14ac:dyDescent="0.3">
      <c r="A130" s="209" t="str">
        <f>IFERROR(IF($A129+1&gt;'(backend scoring)'!$T$335,"",$A129+1),"")</f>
        <v/>
      </c>
      <c r="B130" s="209" t="str">
        <f>_xlfn.XLOOKUP($A130,'(backend scoring)'!$V$2:$V$333,'(backend scoring)'!$A$2:$A$333,"")</f>
        <v/>
      </c>
      <c r="C130" s="209" t="str">
        <f>IFERROR(VLOOKUP($B130,'Institution Evaluation'!$A$55:$F$345,2,0),IFERROR(VLOOKUP($B130,'Privacy Analyst Evaluation'!$A$46:$F$120,2,0),""))&amp;""</f>
        <v/>
      </c>
      <c r="D130" s="209" t="str">
        <f>IFERROR(VLOOKUP($B130,'Institution Evaluation'!$A$55:$F$345,3,0),IFERROR(VLOOKUP($B130,'Privacy Analyst Evaluation'!$A$46:$F$120,3,0),""))&amp;""</f>
        <v/>
      </c>
      <c r="E130" s="209" t="str">
        <f>IFERROR(VLOOKUP($B130,'Institution Evaluation'!$A$55:$F$345,4,0),IFERROR(VLOOKUP($B130,'Privacy Analyst Evaluation'!$A$46:$F$120,4,0),""))&amp;""</f>
        <v/>
      </c>
      <c r="F130" s="209" t="str">
        <f>IFERROR(VLOOKUP($B130,'Institution Evaluation'!$A$55:$F$345,6,0),IFERROR(VLOOKUP($B130,'Privacy Analyst Evaluation'!$A$46:$F$120,6,0),""))&amp;""</f>
        <v/>
      </c>
      <c r="G130" s="210"/>
      <c r="H130" s="209" t="str">
        <f>IFERROR(IF($H129+1&gt;'(backend scoring)'!$Q$335,"",$H129+1),"")</f>
        <v/>
      </c>
      <c r="I130" s="209" t="str">
        <f>_xlfn.XLOOKUP($H130,'(backend scoring)'!$S$2:$S$333,'(backend scoring)'!$A$2:$A$333,"")</f>
        <v/>
      </c>
      <c r="J130" s="209" t="str">
        <f>IFERROR(VLOOKUP($I130,'Institution Evaluation'!$A$55:$F$345,2,0),IFERROR(VLOOKUP($I130,'Privacy Analyst Evaluation'!$A$46:$F$120,2,0),""))</f>
        <v/>
      </c>
      <c r="K130" s="209" t="str">
        <f>IFERROR(VLOOKUP($I130,'Institution Evaluation'!$A$55:$F$345,3,0),IFERROR(VLOOKUP($I130,'Privacy Analyst Evaluation'!$A$46:$F$120,3,0),""))&amp;""</f>
        <v/>
      </c>
      <c r="L130" s="209" t="str">
        <f>IFERROR(VLOOKUP($I130,'Institution Evaluation'!$A$55:$F$345,4,0),IFERROR(VLOOKUP($I130,'Privacy Analyst Evaluation'!$A$46:$F$120,4,0),""))&amp;""</f>
        <v/>
      </c>
      <c r="M130" s="209" t="str">
        <f>IFERROR(VLOOKUP($I130,'Institution Evaluation'!$A$55:$F$345,6,0),IFERROR(VLOOKUP($I130,'Privacy Analyst Evaluation'!$A$46:$F$120,6,0),""))&amp;""</f>
        <v/>
      </c>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row>
    <row r="131" spans="1:338" x14ac:dyDescent="0.3">
      <c r="A131" s="209" t="str">
        <f>IFERROR(IF($A130+1&gt;'(backend scoring)'!$T$335,"",$A130+1),"")</f>
        <v/>
      </c>
      <c r="B131" s="209" t="str">
        <f>_xlfn.XLOOKUP($A131,'(backend scoring)'!$V$2:$V$333,'(backend scoring)'!$A$2:$A$333,"")</f>
        <v/>
      </c>
      <c r="C131" s="209" t="str">
        <f>IFERROR(VLOOKUP($B131,'Institution Evaluation'!$A$55:$F$345,2,0),IFERROR(VLOOKUP($B131,'Privacy Analyst Evaluation'!$A$46:$F$120,2,0),""))&amp;""</f>
        <v/>
      </c>
      <c r="D131" s="209" t="str">
        <f>IFERROR(VLOOKUP($B131,'Institution Evaluation'!$A$55:$F$345,3,0),IFERROR(VLOOKUP($B131,'Privacy Analyst Evaluation'!$A$46:$F$120,3,0),""))&amp;""</f>
        <v/>
      </c>
      <c r="E131" s="209" t="str">
        <f>IFERROR(VLOOKUP($B131,'Institution Evaluation'!$A$55:$F$345,4,0),IFERROR(VLOOKUP($B131,'Privacy Analyst Evaluation'!$A$46:$F$120,4,0),""))&amp;""</f>
        <v/>
      </c>
      <c r="F131" s="209" t="str">
        <f>IFERROR(VLOOKUP($B131,'Institution Evaluation'!$A$55:$F$345,6,0),IFERROR(VLOOKUP($B131,'Privacy Analyst Evaluation'!$A$46:$F$120,6,0),""))&amp;""</f>
        <v/>
      </c>
      <c r="G131" s="210"/>
      <c r="H131" s="209" t="str">
        <f>IFERROR(IF($H130+1&gt;'(backend scoring)'!$Q$335,"",$H130+1),"")</f>
        <v/>
      </c>
      <c r="I131" s="209" t="str">
        <f>_xlfn.XLOOKUP($H131,'(backend scoring)'!$S$2:$S$333,'(backend scoring)'!$A$2:$A$333,"")</f>
        <v/>
      </c>
      <c r="J131" s="209" t="str">
        <f>IFERROR(VLOOKUP($I131,'Institution Evaluation'!$A$55:$F$345,2,0),IFERROR(VLOOKUP($I131,'Privacy Analyst Evaluation'!$A$46:$F$120,2,0),""))</f>
        <v/>
      </c>
      <c r="K131" s="209" t="str">
        <f>IFERROR(VLOOKUP($I131,'Institution Evaluation'!$A$55:$F$345,3,0),IFERROR(VLOOKUP($I131,'Privacy Analyst Evaluation'!$A$46:$F$120,3,0),""))&amp;""</f>
        <v/>
      </c>
      <c r="L131" s="209" t="str">
        <f>IFERROR(VLOOKUP($I131,'Institution Evaluation'!$A$55:$F$345,4,0),IFERROR(VLOOKUP($I131,'Privacy Analyst Evaluation'!$A$46:$F$120,4,0),""))&amp;""</f>
        <v/>
      </c>
      <c r="M131" s="209" t="str">
        <f>IFERROR(VLOOKUP($I131,'Institution Evaluation'!$A$55:$F$345,6,0),IFERROR(VLOOKUP($I131,'Privacy Analyst Evaluation'!$A$46:$F$120,6,0),""))&amp;""</f>
        <v/>
      </c>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row>
    <row r="132" spans="1:338" x14ac:dyDescent="0.3">
      <c r="A132" s="209" t="str">
        <f>IFERROR(IF($A131+1&gt;'(backend scoring)'!$T$335,"",$A131+1),"")</f>
        <v/>
      </c>
      <c r="B132" s="209" t="str">
        <f>_xlfn.XLOOKUP($A132,'(backend scoring)'!$V$2:$V$333,'(backend scoring)'!$A$2:$A$333,"")</f>
        <v/>
      </c>
      <c r="C132" s="209" t="str">
        <f>IFERROR(VLOOKUP($B132,'Institution Evaluation'!$A$55:$F$345,2,0),IFERROR(VLOOKUP($B132,'Privacy Analyst Evaluation'!$A$46:$F$120,2,0),""))&amp;""</f>
        <v/>
      </c>
      <c r="D132" s="209" t="str">
        <f>IFERROR(VLOOKUP($B132,'Institution Evaluation'!$A$55:$F$345,3,0),IFERROR(VLOOKUP($B132,'Privacy Analyst Evaluation'!$A$46:$F$120,3,0),""))&amp;""</f>
        <v/>
      </c>
      <c r="E132" s="209" t="str">
        <f>IFERROR(VLOOKUP($B132,'Institution Evaluation'!$A$55:$F$345,4,0),IFERROR(VLOOKUP($B132,'Privacy Analyst Evaluation'!$A$46:$F$120,4,0),""))&amp;""</f>
        <v/>
      </c>
      <c r="F132" s="209" t="str">
        <f>IFERROR(VLOOKUP($B132,'Institution Evaluation'!$A$55:$F$345,6,0),IFERROR(VLOOKUP($B132,'Privacy Analyst Evaluation'!$A$46:$F$120,6,0),""))&amp;""</f>
        <v/>
      </c>
      <c r="G132" s="210"/>
      <c r="H132" s="209" t="str">
        <f>IFERROR(IF($H131+1&gt;'(backend scoring)'!$Q$335,"",$H131+1),"")</f>
        <v/>
      </c>
      <c r="I132" s="209" t="str">
        <f>_xlfn.XLOOKUP($H132,'(backend scoring)'!$S$2:$S$333,'(backend scoring)'!$A$2:$A$333,"")</f>
        <v/>
      </c>
      <c r="J132" s="209" t="str">
        <f>IFERROR(VLOOKUP($I132,'Institution Evaluation'!$A$55:$F$345,2,0),IFERROR(VLOOKUP($I132,'Privacy Analyst Evaluation'!$A$46:$F$120,2,0),""))</f>
        <v/>
      </c>
      <c r="K132" s="209" t="str">
        <f>IFERROR(VLOOKUP($I132,'Institution Evaluation'!$A$55:$F$345,3,0),IFERROR(VLOOKUP($I132,'Privacy Analyst Evaluation'!$A$46:$F$120,3,0),""))&amp;""</f>
        <v/>
      </c>
      <c r="L132" s="209" t="str">
        <f>IFERROR(VLOOKUP($I132,'Institution Evaluation'!$A$55:$F$345,4,0),IFERROR(VLOOKUP($I132,'Privacy Analyst Evaluation'!$A$46:$F$120,4,0),""))&amp;""</f>
        <v/>
      </c>
      <c r="M132" s="209" t="str">
        <f>IFERROR(VLOOKUP($I132,'Institution Evaluation'!$A$55:$F$345,6,0),IFERROR(VLOOKUP($I132,'Privacy Analyst Evaluation'!$A$46:$F$120,6,0),""))&amp;""</f>
        <v/>
      </c>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row>
    <row r="133" spans="1:338" x14ac:dyDescent="0.3">
      <c r="A133" s="209" t="str">
        <f>IFERROR(IF($A132+1&gt;'(backend scoring)'!$T$335,"",$A132+1),"")</f>
        <v/>
      </c>
      <c r="B133" s="209" t="str">
        <f>_xlfn.XLOOKUP($A133,'(backend scoring)'!$V$2:$V$333,'(backend scoring)'!$A$2:$A$333,"")</f>
        <v/>
      </c>
      <c r="C133" s="209" t="str">
        <f>IFERROR(VLOOKUP($B133,'Institution Evaluation'!$A$55:$F$345,2,0),IFERROR(VLOOKUP($B133,'Privacy Analyst Evaluation'!$A$46:$F$120,2,0),""))&amp;""</f>
        <v/>
      </c>
      <c r="D133" s="209" t="str">
        <f>IFERROR(VLOOKUP($B133,'Institution Evaluation'!$A$55:$F$345,3,0),IFERROR(VLOOKUP($B133,'Privacy Analyst Evaluation'!$A$46:$F$120,3,0),""))&amp;""</f>
        <v/>
      </c>
      <c r="E133" s="209" t="str">
        <f>IFERROR(VLOOKUP($B133,'Institution Evaluation'!$A$55:$F$345,4,0),IFERROR(VLOOKUP($B133,'Privacy Analyst Evaluation'!$A$46:$F$120,4,0),""))&amp;""</f>
        <v/>
      </c>
      <c r="F133" s="209" t="str">
        <f>IFERROR(VLOOKUP($B133,'Institution Evaluation'!$A$55:$F$345,6,0),IFERROR(VLOOKUP($B133,'Privacy Analyst Evaluation'!$A$46:$F$120,6,0),""))&amp;""</f>
        <v/>
      </c>
      <c r="G133" s="210"/>
      <c r="H133" s="209" t="str">
        <f>IFERROR(IF($H132+1&gt;'(backend scoring)'!$Q$335,"",$H132+1),"")</f>
        <v/>
      </c>
      <c r="I133" s="209" t="str">
        <f>_xlfn.XLOOKUP($H133,'(backend scoring)'!$S$2:$S$333,'(backend scoring)'!$A$2:$A$333,"")</f>
        <v/>
      </c>
      <c r="J133" s="209" t="str">
        <f>IFERROR(VLOOKUP($I133,'Institution Evaluation'!$A$55:$F$345,2,0),IFERROR(VLOOKUP($I133,'Privacy Analyst Evaluation'!$A$46:$F$120,2,0),""))</f>
        <v/>
      </c>
      <c r="K133" s="209" t="str">
        <f>IFERROR(VLOOKUP($I133,'Institution Evaluation'!$A$55:$F$345,3,0),IFERROR(VLOOKUP($I133,'Privacy Analyst Evaluation'!$A$46:$F$120,3,0),""))&amp;""</f>
        <v/>
      </c>
      <c r="L133" s="209" t="str">
        <f>IFERROR(VLOOKUP($I133,'Institution Evaluation'!$A$55:$F$345,4,0),IFERROR(VLOOKUP($I133,'Privacy Analyst Evaluation'!$A$46:$F$120,4,0),""))&amp;""</f>
        <v/>
      </c>
      <c r="M133" s="209" t="str">
        <f>IFERROR(VLOOKUP($I133,'Institution Evaluation'!$A$55:$F$345,6,0),IFERROR(VLOOKUP($I133,'Privacy Analyst Evaluation'!$A$46:$F$120,6,0),""))&amp;""</f>
        <v/>
      </c>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row>
    <row r="134" spans="1:338" x14ac:dyDescent="0.3">
      <c r="A134" s="209" t="str">
        <f>IFERROR(IF($A133+1&gt;'(backend scoring)'!$T$335,"",$A133+1),"")</f>
        <v/>
      </c>
      <c r="B134" s="209" t="str">
        <f>_xlfn.XLOOKUP($A134,'(backend scoring)'!$V$2:$V$333,'(backend scoring)'!$A$2:$A$333,"")</f>
        <v/>
      </c>
      <c r="C134" s="209" t="str">
        <f>IFERROR(VLOOKUP($B134,'Institution Evaluation'!$A$55:$F$345,2,0),IFERROR(VLOOKUP($B134,'Privacy Analyst Evaluation'!$A$46:$F$120,2,0),""))&amp;""</f>
        <v/>
      </c>
      <c r="D134" s="209" t="str">
        <f>IFERROR(VLOOKUP($B134,'Institution Evaluation'!$A$55:$F$345,3,0),IFERROR(VLOOKUP($B134,'Privacy Analyst Evaluation'!$A$46:$F$120,3,0),""))&amp;""</f>
        <v/>
      </c>
      <c r="E134" s="209" t="str">
        <f>IFERROR(VLOOKUP($B134,'Institution Evaluation'!$A$55:$F$345,4,0),IFERROR(VLOOKUP($B134,'Privacy Analyst Evaluation'!$A$46:$F$120,4,0),""))&amp;""</f>
        <v/>
      </c>
      <c r="F134" s="209" t="str">
        <f>IFERROR(VLOOKUP($B134,'Institution Evaluation'!$A$55:$F$345,6,0),IFERROR(VLOOKUP($B134,'Privacy Analyst Evaluation'!$A$46:$F$120,6,0),""))&amp;""</f>
        <v/>
      </c>
      <c r="G134" s="210"/>
      <c r="H134" s="209" t="str">
        <f>IFERROR(IF($H133+1&gt;'(backend scoring)'!$Q$335,"",$H133+1),"")</f>
        <v/>
      </c>
      <c r="I134" s="209" t="str">
        <f>_xlfn.XLOOKUP($H134,'(backend scoring)'!$S$2:$S$333,'(backend scoring)'!$A$2:$A$333,"")</f>
        <v/>
      </c>
      <c r="J134" s="209" t="str">
        <f>IFERROR(VLOOKUP($I134,'Institution Evaluation'!$A$55:$F$345,2,0),IFERROR(VLOOKUP($I134,'Privacy Analyst Evaluation'!$A$46:$F$120,2,0),""))</f>
        <v/>
      </c>
      <c r="K134" s="209" t="str">
        <f>IFERROR(VLOOKUP($I134,'Institution Evaluation'!$A$55:$F$345,3,0),IFERROR(VLOOKUP($I134,'Privacy Analyst Evaluation'!$A$46:$F$120,3,0),""))&amp;""</f>
        <v/>
      </c>
      <c r="L134" s="209" t="str">
        <f>IFERROR(VLOOKUP($I134,'Institution Evaluation'!$A$55:$F$345,4,0),IFERROR(VLOOKUP($I134,'Privacy Analyst Evaluation'!$A$46:$F$120,4,0),""))&amp;""</f>
        <v/>
      </c>
      <c r="M134" s="209" t="str">
        <f>IFERROR(VLOOKUP($I134,'Institution Evaluation'!$A$55:$F$345,6,0),IFERROR(VLOOKUP($I134,'Privacy Analyst Evaluation'!$A$46:$F$120,6,0),""))&amp;""</f>
        <v/>
      </c>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row>
    <row r="135" spans="1:338" x14ac:dyDescent="0.3">
      <c r="A135" s="209" t="str">
        <f>IFERROR(IF($A134+1&gt;'(backend scoring)'!$T$335,"",$A134+1),"")</f>
        <v/>
      </c>
      <c r="B135" s="209" t="str">
        <f>_xlfn.XLOOKUP($A135,'(backend scoring)'!$V$2:$V$333,'(backend scoring)'!$A$2:$A$333,"")</f>
        <v/>
      </c>
      <c r="C135" s="209" t="str">
        <f>IFERROR(VLOOKUP($B135,'Institution Evaluation'!$A$55:$F$345,2,0),IFERROR(VLOOKUP($B135,'Privacy Analyst Evaluation'!$A$46:$F$120,2,0),""))&amp;""</f>
        <v/>
      </c>
      <c r="D135" s="209" t="str">
        <f>IFERROR(VLOOKUP($B135,'Institution Evaluation'!$A$55:$F$345,3,0),IFERROR(VLOOKUP($B135,'Privacy Analyst Evaluation'!$A$46:$F$120,3,0),""))&amp;""</f>
        <v/>
      </c>
      <c r="E135" s="209" t="str">
        <f>IFERROR(VLOOKUP($B135,'Institution Evaluation'!$A$55:$F$345,4,0),IFERROR(VLOOKUP($B135,'Privacy Analyst Evaluation'!$A$46:$F$120,4,0),""))&amp;""</f>
        <v/>
      </c>
      <c r="F135" s="209" t="str">
        <f>IFERROR(VLOOKUP($B135,'Institution Evaluation'!$A$55:$F$345,6,0),IFERROR(VLOOKUP($B135,'Privacy Analyst Evaluation'!$A$46:$F$120,6,0),""))&amp;""</f>
        <v/>
      </c>
      <c r="G135" s="210"/>
      <c r="H135" s="209" t="str">
        <f>IFERROR(IF($H134+1&gt;'(backend scoring)'!$Q$335,"",$H134+1),"")</f>
        <v/>
      </c>
      <c r="I135" s="209" t="str">
        <f>_xlfn.XLOOKUP($H135,'(backend scoring)'!$S$2:$S$333,'(backend scoring)'!$A$2:$A$333,"")</f>
        <v/>
      </c>
      <c r="J135" s="209" t="str">
        <f>IFERROR(VLOOKUP($I135,'Institution Evaluation'!$A$55:$F$345,2,0),IFERROR(VLOOKUP($I135,'Privacy Analyst Evaluation'!$A$46:$F$120,2,0),""))</f>
        <v/>
      </c>
      <c r="K135" s="209" t="str">
        <f>IFERROR(VLOOKUP($I135,'Institution Evaluation'!$A$55:$F$345,3,0),IFERROR(VLOOKUP($I135,'Privacy Analyst Evaluation'!$A$46:$F$120,3,0),""))&amp;""</f>
        <v/>
      </c>
      <c r="L135" s="209" t="str">
        <f>IFERROR(VLOOKUP($I135,'Institution Evaluation'!$A$55:$F$345,4,0),IFERROR(VLOOKUP($I135,'Privacy Analyst Evaluation'!$A$46:$F$120,4,0),""))&amp;""</f>
        <v/>
      </c>
      <c r="M135" s="209" t="str">
        <f>IFERROR(VLOOKUP($I135,'Institution Evaluation'!$A$55:$F$345,6,0),IFERROR(VLOOKUP($I135,'Privacy Analyst Evaluation'!$A$46:$F$120,6,0),""))&amp;""</f>
        <v/>
      </c>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row>
    <row r="136" spans="1:338" x14ac:dyDescent="0.3">
      <c r="A136" s="209" t="str">
        <f>IFERROR(IF($A135+1&gt;'(backend scoring)'!$T$335,"",$A135+1),"")</f>
        <v/>
      </c>
      <c r="B136" s="209" t="str">
        <f>_xlfn.XLOOKUP($A136,'(backend scoring)'!$V$2:$V$333,'(backend scoring)'!$A$2:$A$333,"")</f>
        <v/>
      </c>
      <c r="C136" s="209" t="str">
        <f>IFERROR(VLOOKUP($B136,'Institution Evaluation'!$A$55:$F$345,2,0),IFERROR(VLOOKUP($B136,'Privacy Analyst Evaluation'!$A$46:$F$120,2,0),""))&amp;""</f>
        <v/>
      </c>
      <c r="D136" s="209" t="str">
        <f>IFERROR(VLOOKUP($B136,'Institution Evaluation'!$A$55:$F$345,3,0),IFERROR(VLOOKUP($B136,'Privacy Analyst Evaluation'!$A$46:$F$120,3,0),""))&amp;""</f>
        <v/>
      </c>
      <c r="E136" s="209" t="str">
        <f>IFERROR(VLOOKUP($B136,'Institution Evaluation'!$A$55:$F$345,4,0),IFERROR(VLOOKUP($B136,'Privacy Analyst Evaluation'!$A$46:$F$120,4,0),""))&amp;""</f>
        <v/>
      </c>
      <c r="F136" s="209" t="str">
        <f>IFERROR(VLOOKUP($B136,'Institution Evaluation'!$A$55:$F$345,6,0),IFERROR(VLOOKUP($B136,'Privacy Analyst Evaluation'!$A$46:$F$120,6,0),""))&amp;""</f>
        <v/>
      </c>
      <c r="G136" s="210"/>
      <c r="H136" s="209" t="str">
        <f>IFERROR(IF($H135+1&gt;'(backend scoring)'!$Q$335,"",$H135+1),"")</f>
        <v/>
      </c>
      <c r="I136" s="209" t="str">
        <f>_xlfn.XLOOKUP($H136,'(backend scoring)'!$S$2:$S$333,'(backend scoring)'!$A$2:$A$333,"")</f>
        <v/>
      </c>
      <c r="J136" s="209" t="str">
        <f>IFERROR(VLOOKUP($I136,'Institution Evaluation'!$A$55:$F$345,2,0),IFERROR(VLOOKUP($I136,'Privacy Analyst Evaluation'!$A$46:$F$120,2,0),""))</f>
        <v/>
      </c>
      <c r="K136" s="209" t="str">
        <f>IFERROR(VLOOKUP($I136,'Institution Evaluation'!$A$55:$F$345,3,0),IFERROR(VLOOKUP($I136,'Privacy Analyst Evaluation'!$A$46:$F$120,3,0),""))&amp;""</f>
        <v/>
      </c>
      <c r="L136" s="209" t="str">
        <f>IFERROR(VLOOKUP($I136,'Institution Evaluation'!$A$55:$F$345,4,0),IFERROR(VLOOKUP($I136,'Privacy Analyst Evaluation'!$A$46:$F$120,4,0),""))&amp;""</f>
        <v/>
      </c>
      <c r="M136" s="209" t="str">
        <f>IFERROR(VLOOKUP($I136,'Institution Evaluation'!$A$55:$F$345,6,0),IFERROR(VLOOKUP($I136,'Privacy Analyst Evaluation'!$A$46:$F$120,6,0),""))&amp;""</f>
        <v/>
      </c>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row>
    <row r="137" spans="1:338" x14ac:dyDescent="0.3">
      <c r="A137" s="209" t="str">
        <f>IFERROR(IF($A136+1&gt;'(backend scoring)'!$T$335,"",$A136+1),"")</f>
        <v/>
      </c>
      <c r="B137" s="209" t="str">
        <f>_xlfn.XLOOKUP($A137,'(backend scoring)'!$V$2:$V$333,'(backend scoring)'!$A$2:$A$333,"")</f>
        <v/>
      </c>
      <c r="C137" s="209" t="str">
        <f>IFERROR(VLOOKUP($B137,'Institution Evaluation'!$A$55:$F$345,2,0),IFERROR(VLOOKUP($B137,'Privacy Analyst Evaluation'!$A$46:$F$120,2,0),""))&amp;""</f>
        <v/>
      </c>
      <c r="D137" s="209" t="str">
        <f>IFERROR(VLOOKUP($B137,'Institution Evaluation'!$A$55:$F$345,3,0),IFERROR(VLOOKUP($B137,'Privacy Analyst Evaluation'!$A$46:$F$120,3,0),""))&amp;""</f>
        <v/>
      </c>
      <c r="E137" s="209" t="str">
        <f>IFERROR(VLOOKUP($B137,'Institution Evaluation'!$A$55:$F$345,4,0),IFERROR(VLOOKUP($B137,'Privacy Analyst Evaluation'!$A$46:$F$120,4,0),""))&amp;""</f>
        <v/>
      </c>
      <c r="F137" s="209" t="str">
        <f>IFERROR(VLOOKUP($B137,'Institution Evaluation'!$A$55:$F$345,6,0),IFERROR(VLOOKUP($B137,'Privacy Analyst Evaluation'!$A$46:$F$120,6,0),""))&amp;""</f>
        <v/>
      </c>
      <c r="G137" s="210"/>
      <c r="H137" s="209" t="str">
        <f>IFERROR(IF($H136+1&gt;'(backend scoring)'!$Q$335,"",$H136+1),"")</f>
        <v/>
      </c>
      <c r="I137" s="209" t="str">
        <f>_xlfn.XLOOKUP($H137,'(backend scoring)'!$S$2:$S$333,'(backend scoring)'!$A$2:$A$333,"")</f>
        <v/>
      </c>
      <c r="J137" s="209" t="str">
        <f>IFERROR(VLOOKUP($I137,'Institution Evaluation'!$A$55:$F$345,2,0),IFERROR(VLOOKUP($I137,'Privacy Analyst Evaluation'!$A$46:$F$120,2,0),""))</f>
        <v/>
      </c>
      <c r="K137" s="209" t="str">
        <f>IFERROR(VLOOKUP($I137,'Institution Evaluation'!$A$55:$F$345,3,0),IFERROR(VLOOKUP($I137,'Privacy Analyst Evaluation'!$A$46:$F$120,3,0),""))&amp;""</f>
        <v/>
      </c>
      <c r="L137" s="209" t="str">
        <f>IFERROR(VLOOKUP($I137,'Institution Evaluation'!$A$55:$F$345,4,0),IFERROR(VLOOKUP($I137,'Privacy Analyst Evaluation'!$A$46:$F$120,4,0),""))&amp;""</f>
        <v/>
      </c>
      <c r="M137" s="209" t="str">
        <f>IFERROR(VLOOKUP($I137,'Institution Evaluation'!$A$55:$F$345,6,0),IFERROR(VLOOKUP($I137,'Privacy Analyst Evaluation'!$A$46:$F$120,6,0),""))&amp;""</f>
        <v/>
      </c>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row>
    <row r="138" spans="1:338" x14ac:dyDescent="0.3">
      <c r="A138" s="209" t="str">
        <f>IFERROR(IF($A137+1&gt;'(backend scoring)'!$T$335,"",$A137+1),"")</f>
        <v/>
      </c>
      <c r="B138" s="209" t="str">
        <f>_xlfn.XLOOKUP($A138,'(backend scoring)'!$V$2:$V$333,'(backend scoring)'!$A$2:$A$333,"")</f>
        <v/>
      </c>
      <c r="C138" s="209" t="str">
        <f>IFERROR(VLOOKUP($B138,'Institution Evaluation'!$A$55:$F$345,2,0),IFERROR(VLOOKUP($B138,'Privacy Analyst Evaluation'!$A$46:$F$120,2,0),""))&amp;""</f>
        <v/>
      </c>
      <c r="D138" s="209" t="str">
        <f>IFERROR(VLOOKUP($B138,'Institution Evaluation'!$A$55:$F$345,3,0),IFERROR(VLOOKUP($B138,'Privacy Analyst Evaluation'!$A$46:$F$120,3,0),""))&amp;""</f>
        <v/>
      </c>
      <c r="E138" s="209" t="str">
        <f>IFERROR(VLOOKUP($B138,'Institution Evaluation'!$A$55:$F$345,4,0),IFERROR(VLOOKUP($B138,'Privacy Analyst Evaluation'!$A$46:$F$120,4,0),""))&amp;""</f>
        <v/>
      </c>
      <c r="F138" s="209" t="str">
        <f>IFERROR(VLOOKUP($B138,'Institution Evaluation'!$A$55:$F$345,6,0),IFERROR(VLOOKUP($B138,'Privacy Analyst Evaluation'!$A$46:$F$120,6,0),""))&amp;""</f>
        <v/>
      </c>
      <c r="G138" s="210"/>
      <c r="H138" s="209" t="str">
        <f>IFERROR(IF($H137+1&gt;'(backend scoring)'!$Q$335,"",$H137+1),"")</f>
        <v/>
      </c>
      <c r="I138" s="209" t="str">
        <f>_xlfn.XLOOKUP($H138,'(backend scoring)'!$S$2:$S$333,'(backend scoring)'!$A$2:$A$333,"")</f>
        <v/>
      </c>
      <c r="J138" s="209" t="str">
        <f>IFERROR(VLOOKUP($I138,'Institution Evaluation'!$A$55:$F$345,2,0),IFERROR(VLOOKUP($I138,'Privacy Analyst Evaluation'!$A$46:$F$120,2,0),""))</f>
        <v/>
      </c>
      <c r="K138" s="209" t="str">
        <f>IFERROR(VLOOKUP($I138,'Institution Evaluation'!$A$55:$F$345,3,0),IFERROR(VLOOKUP($I138,'Privacy Analyst Evaluation'!$A$46:$F$120,3,0),""))&amp;""</f>
        <v/>
      </c>
      <c r="L138" s="209" t="str">
        <f>IFERROR(VLOOKUP($I138,'Institution Evaluation'!$A$55:$F$345,4,0),IFERROR(VLOOKUP($I138,'Privacy Analyst Evaluation'!$A$46:$F$120,4,0),""))&amp;""</f>
        <v/>
      </c>
      <c r="M138" s="209" t="str">
        <f>IFERROR(VLOOKUP($I138,'Institution Evaluation'!$A$55:$F$345,6,0),IFERROR(VLOOKUP($I138,'Privacy Analyst Evaluation'!$A$46:$F$120,6,0),""))&amp;""</f>
        <v/>
      </c>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row>
    <row r="139" spans="1:338" x14ac:dyDescent="0.3">
      <c r="A139" s="209" t="str">
        <f>IFERROR(IF($A138+1&gt;'(backend scoring)'!$T$335,"",$A138+1),"")</f>
        <v/>
      </c>
      <c r="B139" s="209" t="str">
        <f>_xlfn.XLOOKUP($A139,'(backend scoring)'!$V$2:$V$333,'(backend scoring)'!$A$2:$A$333,"")</f>
        <v/>
      </c>
      <c r="C139" s="209" t="str">
        <f>IFERROR(VLOOKUP($B139,'Institution Evaluation'!$A$55:$F$345,2,0),IFERROR(VLOOKUP($B139,'Privacy Analyst Evaluation'!$A$46:$F$120,2,0),""))&amp;""</f>
        <v/>
      </c>
      <c r="D139" s="209" t="str">
        <f>IFERROR(VLOOKUP($B139,'Institution Evaluation'!$A$55:$F$345,3,0),IFERROR(VLOOKUP($B139,'Privacy Analyst Evaluation'!$A$46:$F$120,3,0),""))&amp;""</f>
        <v/>
      </c>
      <c r="E139" s="209" t="str">
        <f>IFERROR(VLOOKUP($B139,'Institution Evaluation'!$A$55:$F$345,4,0),IFERROR(VLOOKUP($B139,'Privacy Analyst Evaluation'!$A$46:$F$120,4,0),""))&amp;""</f>
        <v/>
      </c>
      <c r="F139" s="209" t="str">
        <f>IFERROR(VLOOKUP($B139,'Institution Evaluation'!$A$55:$F$345,6,0),IFERROR(VLOOKUP($B139,'Privacy Analyst Evaluation'!$A$46:$F$120,6,0),""))&amp;""</f>
        <v/>
      </c>
      <c r="G139" s="210"/>
      <c r="H139" s="209" t="str">
        <f>IFERROR(IF($H138+1&gt;'(backend scoring)'!$Q$335,"",$H138+1),"")</f>
        <v/>
      </c>
      <c r="I139" s="209" t="str">
        <f>_xlfn.XLOOKUP($H139,'(backend scoring)'!$S$2:$S$333,'(backend scoring)'!$A$2:$A$333,"")</f>
        <v/>
      </c>
      <c r="J139" s="209" t="str">
        <f>IFERROR(VLOOKUP($I139,'Institution Evaluation'!$A$55:$F$345,2,0),IFERROR(VLOOKUP($I139,'Privacy Analyst Evaluation'!$A$46:$F$120,2,0),""))</f>
        <v/>
      </c>
      <c r="K139" s="209" t="str">
        <f>IFERROR(VLOOKUP($I139,'Institution Evaluation'!$A$55:$F$345,3,0),IFERROR(VLOOKUP($I139,'Privacy Analyst Evaluation'!$A$46:$F$120,3,0),""))&amp;""</f>
        <v/>
      </c>
      <c r="L139" s="209" t="str">
        <f>IFERROR(VLOOKUP($I139,'Institution Evaluation'!$A$55:$F$345,4,0),IFERROR(VLOOKUP($I139,'Privacy Analyst Evaluation'!$A$46:$F$120,4,0),""))&amp;""</f>
        <v/>
      </c>
      <c r="M139" s="209" t="str">
        <f>IFERROR(VLOOKUP($I139,'Institution Evaluation'!$A$55:$F$345,6,0),IFERROR(VLOOKUP($I139,'Privacy Analyst Evaluation'!$A$46:$F$120,6,0),""))&amp;""</f>
        <v/>
      </c>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row>
    <row r="140" spans="1:338" x14ac:dyDescent="0.3">
      <c r="A140" s="209" t="str">
        <f>IFERROR(IF($A139+1&gt;'(backend scoring)'!$T$335,"",$A139+1),"")</f>
        <v/>
      </c>
      <c r="B140" s="209" t="str">
        <f>_xlfn.XLOOKUP($A140,'(backend scoring)'!$V$2:$V$333,'(backend scoring)'!$A$2:$A$333,"")</f>
        <v/>
      </c>
      <c r="C140" s="209" t="str">
        <f>IFERROR(VLOOKUP($B140,'Institution Evaluation'!$A$55:$F$345,2,0),IFERROR(VLOOKUP($B140,'Privacy Analyst Evaluation'!$A$46:$F$120,2,0),""))&amp;""</f>
        <v/>
      </c>
      <c r="D140" s="209" t="str">
        <f>IFERROR(VLOOKUP($B140,'Institution Evaluation'!$A$55:$F$345,3,0),IFERROR(VLOOKUP($B140,'Privacy Analyst Evaluation'!$A$46:$F$120,3,0),""))&amp;""</f>
        <v/>
      </c>
      <c r="E140" s="209" t="str">
        <f>IFERROR(VLOOKUP($B140,'Institution Evaluation'!$A$55:$F$345,4,0),IFERROR(VLOOKUP($B140,'Privacy Analyst Evaluation'!$A$46:$F$120,4,0),""))&amp;""</f>
        <v/>
      </c>
      <c r="F140" s="209" t="str">
        <f>IFERROR(VLOOKUP($B140,'Institution Evaluation'!$A$55:$F$345,6,0),IFERROR(VLOOKUP($B140,'Privacy Analyst Evaluation'!$A$46:$F$120,6,0),""))&amp;""</f>
        <v/>
      </c>
      <c r="G140" s="210"/>
      <c r="H140" s="209" t="str">
        <f>IFERROR(IF($H139+1&gt;'(backend scoring)'!$Q$335,"",$H139+1),"")</f>
        <v/>
      </c>
      <c r="I140" s="209" t="str">
        <f>_xlfn.XLOOKUP($H140,'(backend scoring)'!$S$2:$S$333,'(backend scoring)'!$A$2:$A$333,"")</f>
        <v/>
      </c>
      <c r="J140" s="209" t="str">
        <f>IFERROR(VLOOKUP($I140,'Institution Evaluation'!$A$55:$F$345,2,0),IFERROR(VLOOKUP($I140,'Privacy Analyst Evaluation'!$A$46:$F$120,2,0),""))</f>
        <v/>
      </c>
      <c r="K140" s="209" t="str">
        <f>IFERROR(VLOOKUP($I140,'Institution Evaluation'!$A$55:$F$345,3,0),IFERROR(VLOOKUP($I140,'Privacy Analyst Evaluation'!$A$46:$F$120,3,0),""))&amp;""</f>
        <v/>
      </c>
      <c r="L140" s="209" t="str">
        <f>IFERROR(VLOOKUP($I140,'Institution Evaluation'!$A$55:$F$345,4,0),IFERROR(VLOOKUP($I140,'Privacy Analyst Evaluation'!$A$46:$F$120,4,0),""))&amp;""</f>
        <v/>
      </c>
      <c r="M140" s="209" t="str">
        <f>IFERROR(VLOOKUP($I140,'Institution Evaluation'!$A$55:$F$345,6,0),IFERROR(VLOOKUP($I140,'Privacy Analyst Evaluation'!$A$46:$F$120,6,0),""))&amp;""</f>
        <v/>
      </c>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row>
    <row r="141" spans="1:338" x14ac:dyDescent="0.3">
      <c r="A141" s="209" t="str">
        <f>IFERROR(IF($A140+1&gt;'(backend scoring)'!$T$335,"",$A140+1),"")</f>
        <v/>
      </c>
      <c r="B141" s="209" t="str">
        <f>_xlfn.XLOOKUP($A141,'(backend scoring)'!$V$2:$V$333,'(backend scoring)'!$A$2:$A$333,"")</f>
        <v/>
      </c>
      <c r="C141" s="209" t="str">
        <f>IFERROR(VLOOKUP($B141,'Institution Evaluation'!$A$55:$F$345,2,0),IFERROR(VLOOKUP($B141,'Privacy Analyst Evaluation'!$A$46:$F$120,2,0),""))&amp;""</f>
        <v/>
      </c>
      <c r="D141" s="209" t="str">
        <f>IFERROR(VLOOKUP($B141,'Institution Evaluation'!$A$55:$F$345,3,0),IFERROR(VLOOKUP($B141,'Privacy Analyst Evaluation'!$A$46:$F$120,3,0),""))&amp;""</f>
        <v/>
      </c>
      <c r="E141" s="209" t="str">
        <f>IFERROR(VLOOKUP($B141,'Institution Evaluation'!$A$55:$F$345,4,0),IFERROR(VLOOKUP($B141,'Privacy Analyst Evaluation'!$A$46:$F$120,4,0),""))&amp;""</f>
        <v/>
      </c>
      <c r="F141" s="209" t="str">
        <f>IFERROR(VLOOKUP($B141,'Institution Evaluation'!$A$55:$F$345,6,0),IFERROR(VLOOKUP($B141,'Privacy Analyst Evaluation'!$A$46:$F$120,6,0),""))&amp;""</f>
        <v/>
      </c>
      <c r="G141" s="210"/>
      <c r="H141" s="209" t="str">
        <f>IFERROR(IF($H140+1&gt;'(backend scoring)'!$Q$335,"",$H140+1),"")</f>
        <v/>
      </c>
      <c r="I141" s="209" t="str">
        <f>_xlfn.XLOOKUP($H141,'(backend scoring)'!$S$2:$S$333,'(backend scoring)'!$A$2:$A$333,"")</f>
        <v/>
      </c>
      <c r="J141" s="209" t="str">
        <f>IFERROR(VLOOKUP($I141,'Institution Evaluation'!$A$55:$F$345,2,0),IFERROR(VLOOKUP($I141,'Privacy Analyst Evaluation'!$A$46:$F$120,2,0),""))</f>
        <v/>
      </c>
      <c r="K141" s="209" t="str">
        <f>IFERROR(VLOOKUP($I141,'Institution Evaluation'!$A$55:$F$345,3,0),IFERROR(VLOOKUP($I141,'Privacy Analyst Evaluation'!$A$46:$F$120,3,0),""))&amp;""</f>
        <v/>
      </c>
      <c r="L141" s="209" t="str">
        <f>IFERROR(VLOOKUP($I141,'Institution Evaluation'!$A$55:$F$345,4,0),IFERROR(VLOOKUP($I141,'Privacy Analyst Evaluation'!$A$46:$F$120,4,0),""))&amp;""</f>
        <v/>
      </c>
      <c r="M141" s="209" t="str">
        <f>IFERROR(VLOOKUP($I141,'Institution Evaluation'!$A$55:$F$345,6,0),IFERROR(VLOOKUP($I141,'Privacy Analyst Evaluation'!$A$46:$F$120,6,0),""))&amp;""</f>
        <v/>
      </c>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row>
    <row r="142" spans="1:338" x14ac:dyDescent="0.3">
      <c r="A142" s="209" t="str">
        <f>IFERROR(IF($A141+1&gt;'(backend scoring)'!$T$335,"",$A141+1),"")</f>
        <v/>
      </c>
      <c r="B142" s="209" t="str">
        <f>_xlfn.XLOOKUP($A142,'(backend scoring)'!$V$2:$V$333,'(backend scoring)'!$A$2:$A$333,"")</f>
        <v/>
      </c>
      <c r="C142" s="209" t="str">
        <f>IFERROR(VLOOKUP($B142,'Institution Evaluation'!$A$55:$F$345,2,0),IFERROR(VLOOKUP($B142,'Privacy Analyst Evaluation'!$A$46:$F$120,2,0),""))&amp;""</f>
        <v/>
      </c>
      <c r="D142" s="209" t="str">
        <f>IFERROR(VLOOKUP($B142,'Institution Evaluation'!$A$55:$F$345,3,0),IFERROR(VLOOKUP($B142,'Privacy Analyst Evaluation'!$A$46:$F$120,3,0),""))&amp;""</f>
        <v/>
      </c>
      <c r="E142" s="209" t="str">
        <f>IFERROR(VLOOKUP($B142,'Institution Evaluation'!$A$55:$F$345,4,0),IFERROR(VLOOKUP($B142,'Privacy Analyst Evaluation'!$A$46:$F$120,4,0),""))&amp;""</f>
        <v/>
      </c>
      <c r="F142" s="209" t="str">
        <f>IFERROR(VLOOKUP($B142,'Institution Evaluation'!$A$55:$F$345,6,0),IFERROR(VLOOKUP($B142,'Privacy Analyst Evaluation'!$A$46:$F$120,6,0),""))&amp;""</f>
        <v/>
      </c>
      <c r="G142" s="210"/>
      <c r="H142" s="209" t="str">
        <f>IFERROR(IF($H141+1&gt;'(backend scoring)'!$Q$335,"",$H141+1),"")</f>
        <v/>
      </c>
      <c r="I142" s="209" t="str">
        <f>_xlfn.XLOOKUP($H142,'(backend scoring)'!$S$2:$S$333,'(backend scoring)'!$A$2:$A$333,"")</f>
        <v/>
      </c>
      <c r="J142" s="209" t="str">
        <f>IFERROR(VLOOKUP($I142,'Institution Evaluation'!$A$55:$F$345,2,0),IFERROR(VLOOKUP($I142,'Privacy Analyst Evaluation'!$A$46:$F$120,2,0),""))</f>
        <v/>
      </c>
      <c r="K142" s="209" t="str">
        <f>IFERROR(VLOOKUP($I142,'Institution Evaluation'!$A$55:$F$345,3,0),IFERROR(VLOOKUP($I142,'Privacy Analyst Evaluation'!$A$46:$F$120,3,0),""))&amp;""</f>
        <v/>
      </c>
      <c r="L142" s="209" t="str">
        <f>IFERROR(VLOOKUP($I142,'Institution Evaluation'!$A$55:$F$345,4,0),IFERROR(VLOOKUP($I142,'Privacy Analyst Evaluation'!$A$46:$F$120,4,0),""))&amp;""</f>
        <v/>
      </c>
      <c r="M142" s="209" t="str">
        <f>IFERROR(VLOOKUP($I142,'Institution Evaluation'!$A$55:$F$345,6,0),IFERROR(VLOOKUP($I142,'Privacy Analyst Evaluation'!$A$46:$F$120,6,0),""))&amp;""</f>
        <v/>
      </c>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row>
    <row r="143" spans="1:338" x14ac:dyDescent="0.3">
      <c r="A143" s="209" t="str">
        <f>IFERROR(IF($A142+1&gt;'(backend scoring)'!$T$335,"",$A142+1),"")</f>
        <v/>
      </c>
      <c r="B143" s="209" t="str">
        <f>_xlfn.XLOOKUP($A143,'(backend scoring)'!$V$2:$V$333,'(backend scoring)'!$A$2:$A$333,"")</f>
        <v/>
      </c>
      <c r="C143" s="209" t="str">
        <f>IFERROR(VLOOKUP($B143,'Institution Evaluation'!$A$55:$F$345,2,0),IFERROR(VLOOKUP($B143,'Privacy Analyst Evaluation'!$A$46:$F$120,2,0),""))&amp;""</f>
        <v/>
      </c>
      <c r="D143" s="209" t="str">
        <f>IFERROR(VLOOKUP($B143,'Institution Evaluation'!$A$55:$F$345,3,0),IFERROR(VLOOKUP($B143,'Privacy Analyst Evaluation'!$A$46:$F$120,3,0),""))&amp;""</f>
        <v/>
      </c>
      <c r="E143" s="209" t="str">
        <f>IFERROR(VLOOKUP($B143,'Institution Evaluation'!$A$55:$F$345,4,0),IFERROR(VLOOKUP($B143,'Privacy Analyst Evaluation'!$A$46:$F$120,4,0),""))&amp;""</f>
        <v/>
      </c>
      <c r="F143" s="209" t="str">
        <f>IFERROR(VLOOKUP($B143,'Institution Evaluation'!$A$55:$F$345,6,0),IFERROR(VLOOKUP($B143,'Privacy Analyst Evaluation'!$A$46:$F$120,6,0),""))&amp;""</f>
        <v/>
      </c>
      <c r="G143" s="210"/>
      <c r="H143" s="209" t="str">
        <f>IFERROR(IF($H142+1&gt;'(backend scoring)'!$Q$335,"",$H142+1),"")</f>
        <v/>
      </c>
      <c r="I143" s="209" t="str">
        <f>_xlfn.XLOOKUP($H143,'(backend scoring)'!$S$2:$S$333,'(backend scoring)'!$A$2:$A$333,"")</f>
        <v/>
      </c>
      <c r="J143" s="209" t="str">
        <f>IFERROR(VLOOKUP($I143,'Institution Evaluation'!$A$55:$F$345,2,0),IFERROR(VLOOKUP($I143,'Privacy Analyst Evaluation'!$A$46:$F$120,2,0),""))</f>
        <v/>
      </c>
      <c r="K143" s="209" t="str">
        <f>IFERROR(VLOOKUP($I143,'Institution Evaluation'!$A$55:$F$345,3,0),IFERROR(VLOOKUP($I143,'Privacy Analyst Evaluation'!$A$46:$F$120,3,0),""))&amp;""</f>
        <v/>
      </c>
      <c r="L143" s="209" t="str">
        <f>IFERROR(VLOOKUP($I143,'Institution Evaluation'!$A$55:$F$345,4,0),IFERROR(VLOOKUP($I143,'Privacy Analyst Evaluation'!$A$46:$F$120,4,0),""))&amp;""</f>
        <v/>
      </c>
      <c r="M143" s="209" t="str">
        <f>IFERROR(VLOOKUP($I143,'Institution Evaluation'!$A$55:$F$345,6,0),IFERROR(VLOOKUP($I143,'Privacy Analyst Evaluation'!$A$46:$F$120,6,0),""))&amp;""</f>
        <v/>
      </c>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row>
    <row r="144" spans="1:338" x14ac:dyDescent="0.3">
      <c r="A144" s="209" t="str">
        <f>IFERROR(IF($A143+1&gt;'(backend scoring)'!$T$335,"",$A143+1),"")</f>
        <v/>
      </c>
      <c r="B144" s="209" t="str">
        <f>_xlfn.XLOOKUP($A144,'(backend scoring)'!$V$2:$V$333,'(backend scoring)'!$A$2:$A$333,"")</f>
        <v/>
      </c>
      <c r="C144" s="209" t="str">
        <f>IFERROR(VLOOKUP($B144,'Institution Evaluation'!$A$55:$F$345,2,0),IFERROR(VLOOKUP($B144,'Privacy Analyst Evaluation'!$A$46:$F$120,2,0),""))&amp;""</f>
        <v/>
      </c>
      <c r="D144" s="209" t="str">
        <f>IFERROR(VLOOKUP($B144,'Institution Evaluation'!$A$55:$F$345,3,0),IFERROR(VLOOKUP($B144,'Privacy Analyst Evaluation'!$A$46:$F$120,3,0),""))&amp;""</f>
        <v/>
      </c>
      <c r="E144" s="209" t="str">
        <f>IFERROR(VLOOKUP($B144,'Institution Evaluation'!$A$55:$F$345,4,0),IFERROR(VLOOKUP($B144,'Privacy Analyst Evaluation'!$A$46:$F$120,4,0),""))&amp;""</f>
        <v/>
      </c>
      <c r="F144" s="209" t="str">
        <f>IFERROR(VLOOKUP($B144,'Institution Evaluation'!$A$55:$F$345,6,0),IFERROR(VLOOKUP($B144,'Privacy Analyst Evaluation'!$A$46:$F$120,6,0),""))&amp;""</f>
        <v/>
      </c>
      <c r="G144" s="210"/>
      <c r="H144" s="209" t="str">
        <f>IFERROR(IF($H143+1&gt;'(backend scoring)'!$Q$335,"",$H143+1),"")</f>
        <v/>
      </c>
      <c r="I144" s="209" t="str">
        <f>_xlfn.XLOOKUP($H144,'(backend scoring)'!$S$2:$S$333,'(backend scoring)'!$A$2:$A$333,"")</f>
        <v/>
      </c>
      <c r="J144" s="209" t="str">
        <f>IFERROR(VLOOKUP($I144,'Institution Evaluation'!$A$55:$F$345,2,0),IFERROR(VLOOKUP($I144,'Privacy Analyst Evaluation'!$A$46:$F$120,2,0),""))</f>
        <v/>
      </c>
      <c r="K144" s="209" t="str">
        <f>IFERROR(VLOOKUP($I144,'Institution Evaluation'!$A$55:$F$345,3,0),IFERROR(VLOOKUP($I144,'Privacy Analyst Evaluation'!$A$46:$F$120,3,0),""))&amp;""</f>
        <v/>
      </c>
      <c r="L144" s="209" t="str">
        <f>IFERROR(VLOOKUP($I144,'Institution Evaluation'!$A$55:$F$345,4,0),IFERROR(VLOOKUP($I144,'Privacy Analyst Evaluation'!$A$46:$F$120,4,0),""))&amp;""</f>
        <v/>
      </c>
      <c r="M144" s="209" t="str">
        <f>IFERROR(VLOOKUP($I144,'Institution Evaluation'!$A$55:$F$345,6,0),IFERROR(VLOOKUP($I144,'Privacy Analyst Evaluation'!$A$46:$F$120,6,0),""))&amp;""</f>
        <v/>
      </c>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row>
    <row r="145" spans="1:338" x14ac:dyDescent="0.3">
      <c r="A145" s="209" t="str">
        <f>IFERROR(IF($A144+1&gt;'(backend scoring)'!$T$335,"",$A144+1),"")</f>
        <v/>
      </c>
      <c r="B145" s="209" t="str">
        <f>_xlfn.XLOOKUP($A145,'(backend scoring)'!$V$2:$V$333,'(backend scoring)'!$A$2:$A$333,"")</f>
        <v/>
      </c>
      <c r="C145" s="209" t="str">
        <f>IFERROR(VLOOKUP($B145,'Institution Evaluation'!$A$55:$F$345,2,0),IFERROR(VLOOKUP($B145,'Privacy Analyst Evaluation'!$A$46:$F$120,2,0),""))&amp;""</f>
        <v/>
      </c>
      <c r="D145" s="209" t="str">
        <f>IFERROR(VLOOKUP($B145,'Institution Evaluation'!$A$55:$F$345,3,0),IFERROR(VLOOKUP($B145,'Privacy Analyst Evaluation'!$A$46:$F$120,3,0),""))&amp;""</f>
        <v/>
      </c>
      <c r="E145" s="209" t="str">
        <f>IFERROR(VLOOKUP($B145,'Institution Evaluation'!$A$55:$F$345,4,0),IFERROR(VLOOKUP($B145,'Privacy Analyst Evaluation'!$A$46:$F$120,4,0),""))&amp;""</f>
        <v/>
      </c>
      <c r="F145" s="209" t="str">
        <f>IFERROR(VLOOKUP($B145,'Institution Evaluation'!$A$55:$F$345,6,0),IFERROR(VLOOKUP($B145,'Privacy Analyst Evaluation'!$A$46:$F$120,6,0),""))&amp;""</f>
        <v/>
      </c>
      <c r="G145" s="210"/>
      <c r="H145" s="209" t="str">
        <f>IFERROR(IF($H144+1&gt;'(backend scoring)'!$Q$335,"",$H144+1),"")</f>
        <v/>
      </c>
      <c r="I145" s="209" t="str">
        <f>_xlfn.XLOOKUP($H145,'(backend scoring)'!$S$2:$S$333,'(backend scoring)'!$A$2:$A$333,"")</f>
        <v/>
      </c>
      <c r="J145" s="209" t="str">
        <f>IFERROR(VLOOKUP($I145,'Institution Evaluation'!$A$55:$F$345,2,0),IFERROR(VLOOKUP($I145,'Privacy Analyst Evaluation'!$A$46:$F$120,2,0),""))</f>
        <v/>
      </c>
      <c r="K145" s="209" t="str">
        <f>IFERROR(VLOOKUP($I145,'Institution Evaluation'!$A$55:$F$345,3,0),IFERROR(VLOOKUP($I145,'Privacy Analyst Evaluation'!$A$46:$F$120,3,0),""))&amp;""</f>
        <v/>
      </c>
      <c r="L145" s="209" t="str">
        <f>IFERROR(VLOOKUP($I145,'Institution Evaluation'!$A$55:$F$345,4,0),IFERROR(VLOOKUP($I145,'Privacy Analyst Evaluation'!$A$46:$F$120,4,0),""))&amp;""</f>
        <v/>
      </c>
      <c r="M145" s="209" t="str">
        <f>IFERROR(VLOOKUP($I145,'Institution Evaluation'!$A$55:$F$345,6,0),IFERROR(VLOOKUP($I145,'Privacy Analyst Evaluation'!$A$46:$F$120,6,0),""))&amp;""</f>
        <v/>
      </c>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row>
    <row r="146" spans="1:338" x14ac:dyDescent="0.3">
      <c r="A146" s="209" t="str">
        <f>IFERROR(IF($A145+1&gt;'(backend scoring)'!$T$335,"",$A145+1),"")</f>
        <v/>
      </c>
      <c r="B146" s="209" t="str">
        <f>_xlfn.XLOOKUP($A146,'(backend scoring)'!$V$2:$V$333,'(backend scoring)'!$A$2:$A$333,"")</f>
        <v/>
      </c>
      <c r="C146" s="209" t="str">
        <f>IFERROR(VLOOKUP($B146,'Institution Evaluation'!$A$55:$F$345,2,0),IFERROR(VLOOKUP($B146,'Privacy Analyst Evaluation'!$A$46:$F$120,2,0),""))&amp;""</f>
        <v/>
      </c>
      <c r="D146" s="209" t="str">
        <f>IFERROR(VLOOKUP($B146,'Institution Evaluation'!$A$55:$F$345,3,0),IFERROR(VLOOKUP($B146,'Privacy Analyst Evaluation'!$A$46:$F$120,3,0),""))&amp;""</f>
        <v/>
      </c>
      <c r="E146" s="209" t="str">
        <f>IFERROR(VLOOKUP($B146,'Institution Evaluation'!$A$55:$F$345,4,0),IFERROR(VLOOKUP($B146,'Privacy Analyst Evaluation'!$A$46:$F$120,4,0),""))&amp;""</f>
        <v/>
      </c>
      <c r="F146" s="209" t="str">
        <f>IFERROR(VLOOKUP($B146,'Institution Evaluation'!$A$55:$F$345,6,0),IFERROR(VLOOKUP($B146,'Privacy Analyst Evaluation'!$A$46:$F$120,6,0),""))&amp;""</f>
        <v/>
      </c>
      <c r="G146" s="210"/>
      <c r="H146" s="209" t="str">
        <f>IFERROR(IF($H145+1&gt;'(backend scoring)'!$Q$335,"",$H145+1),"")</f>
        <v/>
      </c>
      <c r="I146" s="209" t="str">
        <f>_xlfn.XLOOKUP($H146,'(backend scoring)'!$S$2:$S$333,'(backend scoring)'!$A$2:$A$333,"")</f>
        <v/>
      </c>
      <c r="J146" s="209" t="str">
        <f>IFERROR(VLOOKUP($I146,'Institution Evaluation'!$A$55:$F$345,2,0),IFERROR(VLOOKUP($I146,'Privacy Analyst Evaluation'!$A$46:$F$120,2,0),""))</f>
        <v/>
      </c>
      <c r="K146" s="209" t="str">
        <f>IFERROR(VLOOKUP($I146,'Institution Evaluation'!$A$55:$F$345,3,0),IFERROR(VLOOKUP($I146,'Privacy Analyst Evaluation'!$A$46:$F$120,3,0),""))&amp;""</f>
        <v/>
      </c>
      <c r="L146" s="209" t="str">
        <f>IFERROR(VLOOKUP($I146,'Institution Evaluation'!$A$55:$F$345,4,0),IFERROR(VLOOKUP($I146,'Privacy Analyst Evaluation'!$A$46:$F$120,4,0),""))&amp;""</f>
        <v/>
      </c>
      <c r="M146" s="209" t="str">
        <f>IFERROR(VLOOKUP($I146,'Institution Evaluation'!$A$55:$F$345,6,0),IFERROR(VLOOKUP($I146,'Privacy Analyst Evaluation'!$A$46:$F$120,6,0),""))&amp;""</f>
        <v/>
      </c>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row>
    <row r="147" spans="1:338" x14ac:dyDescent="0.3">
      <c r="A147" s="209" t="str">
        <f>IFERROR(IF($A146+1&gt;'(backend scoring)'!$T$335,"",$A146+1),"")</f>
        <v/>
      </c>
      <c r="B147" s="209" t="str">
        <f>_xlfn.XLOOKUP($A147,'(backend scoring)'!$V$2:$V$333,'(backend scoring)'!$A$2:$A$333,"")</f>
        <v/>
      </c>
      <c r="C147" s="209" t="str">
        <f>IFERROR(VLOOKUP($B147,'Institution Evaluation'!$A$55:$F$345,2,0),IFERROR(VLOOKUP($B147,'Privacy Analyst Evaluation'!$A$46:$F$120,2,0),""))&amp;""</f>
        <v/>
      </c>
      <c r="D147" s="209" t="str">
        <f>IFERROR(VLOOKUP($B147,'Institution Evaluation'!$A$55:$F$345,3,0),IFERROR(VLOOKUP($B147,'Privacy Analyst Evaluation'!$A$46:$F$120,3,0),""))&amp;""</f>
        <v/>
      </c>
      <c r="E147" s="209" t="str">
        <f>IFERROR(VLOOKUP($B147,'Institution Evaluation'!$A$55:$F$345,4,0),IFERROR(VLOOKUP($B147,'Privacy Analyst Evaluation'!$A$46:$F$120,4,0),""))&amp;""</f>
        <v/>
      </c>
      <c r="F147" s="209" t="str">
        <f>IFERROR(VLOOKUP($B147,'Institution Evaluation'!$A$55:$F$345,6,0),IFERROR(VLOOKUP($B147,'Privacy Analyst Evaluation'!$A$46:$F$120,6,0),""))&amp;""</f>
        <v/>
      </c>
      <c r="G147" s="210"/>
      <c r="H147" s="209" t="str">
        <f>IFERROR(IF($H146+1&gt;'(backend scoring)'!$Q$335,"",$H146+1),"")</f>
        <v/>
      </c>
      <c r="I147" s="209" t="str">
        <f>_xlfn.XLOOKUP($H147,'(backend scoring)'!$S$2:$S$333,'(backend scoring)'!$A$2:$A$333,"")</f>
        <v/>
      </c>
      <c r="J147" s="209" t="str">
        <f>IFERROR(VLOOKUP($I147,'Institution Evaluation'!$A$55:$F$345,2,0),IFERROR(VLOOKUP($I147,'Privacy Analyst Evaluation'!$A$46:$F$120,2,0),""))</f>
        <v/>
      </c>
      <c r="K147" s="209" t="str">
        <f>IFERROR(VLOOKUP($I147,'Institution Evaluation'!$A$55:$F$345,3,0),IFERROR(VLOOKUP($I147,'Privacy Analyst Evaluation'!$A$46:$F$120,3,0),""))&amp;""</f>
        <v/>
      </c>
      <c r="L147" s="209" t="str">
        <f>IFERROR(VLOOKUP($I147,'Institution Evaluation'!$A$55:$F$345,4,0),IFERROR(VLOOKUP($I147,'Privacy Analyst Evaluation'!$A$46:$F$120,4,0),""))&amp;""</f>
        <v/>
      </c>
      <c r="M147" s="209" t="str">
        <f>IFERROR(VLOOKUP($I147,'Institution Evaluation'!$A$55:$F$345,6,0),IFERROR(VLOOKUP($I147,'Privacy Analyst Evaluation'!$A$46:$F$120,6,0),""))&amp;""</f>
        <v/>
      </c>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row>
    <row r="148" spans="1:338" x14ac:dyDescent="0.3">
      <c r="A148" s="209" t="str">
        <f>IFERROR(IF($A147+1&gt;'(backend scoring)'!$T$335,"",$A147+1),"")</f>
        <v/>
      </c>
      <c r="B148" s="209" t="str">
        <f>_xlfn.XLOOKUP($A148,'(backend scoring)'!$V$2:$V$333,'(backend scoring)'!$A$2:$A$333,"")</f>
        <v/>
      </c>
      <c r="C148" s="209" t="str">
        <f>IFERROR(VLOOKUP($B148,'Institution Evaluation'!$A$55:$F$345,2,0),IFERROR(VLOOKUP($B148,'Privacy Analyst Evaluation'!$A$46:$F$120,2,0),""))&amp;""</f>
        <v/>
      </c>
      <c r="D148" s="209" t="str">
        <f>IFERROR(VLOOKUP($B148,'Institution Evaluation'!$A$55:$F$345,3,0),IFERROR(VLOOKUP($B148,'Privacy Analyst Evaluation'!$A$46:$F$120,3,0),""))&amp;""</f>
        <v/>
      </c>
      <c r="E148" s="209" t="str">
        <f>IFERROR(VLOOKUP($B148,'Institution Evaluation'!$A$55:$F$345,4,0),IFERROR(VLOOKUP($B148,'Privacy Analyst Evaluation'!$A$46:$F$120,4,0),""))&amp;""</f>
        <v/>
      </c>
      <c r="F148" s="209" t="str">
        <f>IFERROR(VLOOKUP($B148,'Institution Evaluation'!$A$55:$F$345,6,0),IFERROR(VLOOKUP($B148,'Privacy Analyst Evaluation'!$A$46:$F$120,6,0),""))&amp;""</f>
        <v/>
      </c>
      <c r="G148" s="210"/>
      <c r="H148" s="209" t="str">
        <f>IFERROR(IF($H147+1&gt;'(backend scoring)'!$Q$335,"",$H147+1),"")</f>
        <v/>
      </c>
      <c r="I148" s="209" t="str">
        <f>_xlfn.XLOOKUP($H148,'(backend scoring)'!$S$2:$S$333,'(backend scoring)'!$A$2:$A$333,"")</f>
        <v/>
      </c>
      <c r="J148" s="209" t="str">
        <f>IFERROR(VLOOKUP($I148,'Institution Evaluation'!$A$55:$F$345,2,0),IFERROR(VLOOKUP($I148,'Privacy Analyst Evaluation'!$A$46:$F$120,2,0),""))</f>
        <v/>
      </c>
      <c r="K148" s="209" t="str">
        <f>IFERROR(VLOOKUP($I148,'Institution Evaluation'!$A$55:$F$345,3,0),IFERROR(VLOOKUP($I148,'Privacy Analyst Evaluation'!$A$46:$F$120,3,0),""))&amp;""</f>
        <v/>
      </c>
      <c r="L148" s="209" t="str">
        <f>IFERROR(VLOOKUP($I148,'Institution Evaluation'!$A$55:$F$345,4,0),IFERROR(VLOOKUP($I148,'Privacy Analyst Evaluation'!$A$46:$F$120,4,0),""))&amp;""</f>
        <v/>
      </c>
      <c r="M148" s="209" t="str">
        <f>IFERROR(VLOOKUP($I148,'Institution Evaluation'!$A$55:$F$345,6,0),IFERROR(VLOOKUP($I148,'Privacy Analyst Evaluation'!$A$46:$F$120,6,0),""))&amp;""</f>
        <v/>
      </c>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row>
    <row r="149" spans="1:338" x14ac:dyDescent="0.3">
      <c r="A149" s="209" t="str">
        <f>IFERROR(IF($A148+1&gt;'(backend scoring)'!$T$335,"",$A148+1),"")</f>
        <v/>
      </c>
      <c r="B149" s="209" t="str">
        <f>_xlfn.XLOOKUP($A149,'(backend scoring)'!$V$2:$V$333,'(backend scoring)'!$A$2:$A$333,"")</f>
        <v/>
      </c>
      <c r="C149" s="209" t="str">
        <f>IFERROR(VLOOKUP($B149,'Institution Evaluation'!$A$55:$F$345,2,0),IFERROR(VLOOKUP($B149,'Privacy Analyst Evaluation'!$A$46:$F$120,2,0),""))&amp;""</f>
        <v/>
      </c>
      <c r="D149" s="209" t="str">
        <f>IFERROR(VLOOKUP($B149,'Institution Evaluation'!$A$55:$F$345,3,0),IFERROR(VLOOKUP($B149,'Privacy Analyst Evaluation'!$A$46:$F$120,3,0),""))&amp;""</f>
        <v/>
      </c>
      <c r="E149" s="209" t="str">
        <f>IFERROR(VLOOKUP($B149,'Institution Evaluation'!$A$55:$F$345,4,0),IFERROR(VLOOKUP($B149,'Privacy Analyst Evaluation'!$A$46:$F$120,4,0),""))&amp;""</f>
        <v/>
      </c>
      <c r="F149" s="209" t="str">
        <f>IFERROR(VLOOKUP($B149,'Institution Evaluation'!$A$55:$F$345,6,0),IFERROR(VLOOKUP($B149,'Privacy Analyst Evaluation'!$A$46:$F$120,6,0),""))&amp;""</f>
        <v/>
      </c>
      <c r="G149" s="210"/>
      <c r="H149" s="209" t="str">
        <f>IFERROR(IF($H148+1&gt;'(backend scoring)'!$Q$335,"",$H148+1),"")</f>
        <v/>
      </c>
      <c r="I149" s="209" t="str">
        <f>_xlfn.XLOOKUP($H149,'(backend scoring)'!$S$2:$S$333,'(backend scoring)'!$A$2:$A$333,"")</f>
        <v/>
      </c>
      <c r="J149" s="209" t="str">
        <f>IFERROR(VLOOKUP($I149,'Institution Evaluation'!$A$55:$F$345,2,0),IFERROR(VLOOKUP($I149,'Privacy Analyst Evaluation'!$A$46:$F$120,2,0),""))</f>
        <v/>
      </c>
      <c r="K149" s="209" t="str">
        <f>IFERROR(VLOOKUP($I149,'Institution Evaluation'!$A$55:$F$345,3,0),IFERROR(VLOOKUP($I149,'Privacy Analyst Evaluation'!$A$46:$F$120,3,0),""))&amp;""</f>
        <v/>
      </c>
      <c r="L149" s="209" t="str">
        <f>IFERROR(VLOOKUP($I149,'Institution Evaluation'!$A$55:$F$345,4,0),IFERROR(VLOOKUP($I149,'Privacy Analyst Evaluation'!$A$46:$F$120,4,0),""))&amp;""</f>
        <v/>
      </c>
      <c r="M149" s="209" t="str">
        <f>IFERROR(VLOOKUP($I149,'Institution Evaluation'!$A$55:$F$345,6,0),IFERROR(VLOOKUP($I149,'Privacy Analyst Evaluation'!$A$46:$F$120,6,0),""))&amp;""</f>
        <v/>
      </c>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row>
    <row r="150" spans="1:338" x14ac:dyDescent="0.3">
      <c r="A150" s="209" t="str">
        <f>IFERROR(IF($A149+1&gt;'(backend scoring)'!$T$335,"",$A149+1),"")</f>
        <v/>
      </c>
      <c r="B150" s="209" t="str">
        <f>_xlfn.XLOOKUP($A150,'(backend scoring)'!$V$2:$V$333,'(backend scoring)'!$A$2:$A$333,"")</f>
        <v/>
      </c>
      <c r="C150" s="209" t="str">
        <f>IFERROR(VLOOKUP($B150,'Institution Evaluation'!$A$55:$F$345,2,0),IFERROR(VLOOKUP($B150,'Privacy Analyst Evaluation'!$A$46:$F$120,2,0),""))&amp;""</f>
        <v/>
      </c>
      <c r="D150" s="209" t="str">
        <f>IFERROR(VLOOKUP($B150,'Institution Evaluation'!$A$55:$F$345,3,0),IFERROR(VLOOKUP($B150,'Privacy Analyst Evaluation'!$A$46:$F$120,3,0),""))&amp;""</f>
        <v/>
      </c>
      <c r="E150" s="209" t="str">
        <f>IFERROR(VLOOKUP($B150,'Institution Evaluation'!$A$55:$F$345,4,0),IFERROR(VLOOKUP($B150,'Privacy Analyst Evaluation'!$A$46:$F$120,4,0),""))&amp;""</f>
        <v/>
      </c>
      <c r="F150" s="209" t="str">
        <f>IFERROR(VLOOKUP($B150,'Institution Evaluation'!$A$55:$F$345,6,0),IFERROR(VLOOKUP($B150,'Privacy Analyst Evaluation'!$A$46:$F$120,6,0),""))&amp;""</f>
        <v/>
      </c>
      <c r="G150" s="210"/>
      <c r="H150" s="209" t="str">
        <f>IFERROR(IF($H149+1&gt;'(backend scoring)'!$Q$335,"",$H149+1),"")</f>
        <v/>
      </c>
      <c r="I150" s="209" t="str">
        <f>_xlfn.XLOOKUP($H150,'(backend scoring)'!$S$2:$S$333,'(backend scoring)'!$A$2:$A$333,"")</f>
        <v/>
      </c>
      <c r="J150" s="209" t="str">
        <f>IFERROR(VLOOKUP($I150,'Institution Evaluation'!$A$55:$F$345,2,0),IFERROR(VLOOKUP($I150,'Privacy Analyst Evaluation'!$A$46:$F$120,2,0),""))</f>
        <v/>
      </c>
      <c r="K150" s="209" t="str">
        <f>IFERROR(VLOOKUP($I150,'Institution Evaluation'!$A$55:$F$345,3,0),IFERROR(VLOOKUP($I150,'Privacy Analyst Evaluation'!$A$46:$F$120,3,0),""))&amp;""</f>
        <v/>
      </c>
      <c r="L150" s="209" t="str">
        <f>IFERROR(VLOOKUP($I150,'Institution Evaluation'!$A$55:$F$345,4,0),IFERROR(VLOOKUP($I150,'Privacy Analyst Evaluation'!$A$46:$F$120,4,0),""))&amp;""</f>
        <v/>
      </c>
      <c r="M150" s="209" t="str">
        <f>IFERROR(VLOOKUP($I150,'Institution Evaluation'!$A$55:$F$345,6,0),IFERROR(VLOOKUP($I150,'Privacy Analyst Evaluation'!$A$46:$F$120,6,0),""))&amp;""</f>
        <v/>
      </c>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row>
    <row r="151" spans="1:338" x14ac:dyDescent="0.3">
      <c r="A151" s="209" t="str">
        <f>IFERROR(IF($A150+1&gt;'(backend scoring)'!$T$335,"",$A150+1),"")</f>
        <v/>
      </c>
      <c r="B151" s="209" t="str">
        <f>_xlfn.XLOOKUP($A151,'(backend scoring)'!$V$2:$V$333,'(backend scoring)'!$A$2:$A$333,"")</f>
        <v/>
      </c>
      <c r="C151" s="209" t="str">
        <f>IFERROR(VLOOKUP($B151,'Institution Evaluation'!$A$55:$F$345,2,0),IFERROR(VLOOKUP($B151,'Privacy Analyst Evaluation'!$A$46:$F$120,2,0),""))&amp;""</f>
        <v/>
      </c>
      <c r="D151" s="209" t="str">
        <f>IFERROR(VLOOKUP($B151,'Institution Evaluation'!$A$55:$F$345,3,0),IFERROR(VLOOKUP($B151,'Privacy Analyst Evaluation'!$A$46:$F$120,3,0),""))&amp;""</f>
        <v/>
      </c>
      <c r="E151" s="209" t="str">
        <f>IFERROR(VLOOKUP($B151,'Institution Evaluation'!$A$55:$F$345,4,0),IFERROR(VLOOKUP($B151,'Privacy Analyst Evaluation'!$A$46:$F$120,4,0),""))&amp;""</f>
        <v/>
      </c>
      <c r="F151" s="209" t="str">
        <f>IFERROR(VLOOKUP($B151,'Institution Evaluation'!$A$55:$F$345,6,0),IFERROR(VLOOKUP($B151,'Privacy Analyst Evaluation'!$A$46:$F$120,6,0),""))&amp;""</f>
        <v/>
      </c>
      <c r="G151" s="210"/>
      <c r="H151" s="209" t="str">
        <f>IFERROR(IF($H150+1&gt;'(backend scoring)'!$Q$335,"",$H150+1),"")</f>
        <v/>
      </c>
      <c r="I151" s="209" t="str">
        <f>_xlfn.XLOOKUP($H151,'(backend scoring)'!$S$2:$S$333,'(backend scoring)'!$A$2:$A$333,"")</f>
        <v/>
      </c>
      <c r="J151" s="209" t="str">
        <f>IFERROR(VLOOKUP($I151,'Institution Evaluation'!$A$55:$F$345,2,0),IFERROR(VLOOKUP($I151,'Privacy Analyst Evaluation'!$A$46:$F$120,2,0),""))</f>
        <v/>
      </c>
      <c r="K151" s="209" t="str">
        <f>IFERROR(VLOOKUP($I151,'Institution Evaluation'!$A$55:$F$345,3,0),IFERROR(VLOOKUP($I151,'Privacy Analyst Evaluation'!$A$46:$F$120,3,0),""))&amp;""</f>
        <v/>
      </c>
      <c r="L151" s="209" t="str">
        <f>IFERROR(VLOOKUP($I151,'Institution Evaluation'!$A$55:$F$345,4,0),IFERROR(VLOOKUP($I151,'Privacy Analyst Evaluation'!$A$46:$F$120,4,0),""))&amp;""</f>
        <v/>
      </c>
      <c r="M151" s="209" t="str">
        <f>IFERROR(VLOOKUP($I151,'Institution Evaluation'!$A$55:$F$345,6,0),IFERROR(VLOOKUP($I151,'Privacy Analyst Evaluation'!$A$46:$F$120,6,0),""))&amp;""</f>
        <v/>
      </c>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row>
    <row r="152" spans="1:338" x14ac:dyDescent="0.3">
      <c r="A152" s="209" t="str">
        <f>IFERROR(IF($A151+1&gt;'(backend scoring)'!$T$335,"",$A151+1),"")</f>
        <v/>
      </c>
      <c r="B152" s="209" t="str">
        <f>_xlfn.XLOOKUP($A152,'(backend scoring)'!$V$2:$V$333,'(backend scoring)'!$A$2:$A$333,"")</f>
        <v/>
      </c>
      <c r="C152" s="209" t="str">
        <f>IFERROR(VLOOKUP($B152,'Institution Evaluation'!$A$55:$F$345,2,0),IFERROR(VLOOKUP($B152,'Privacy Analyst Evaluation'!$A$46:$F$120,2,0),""))&amp;""</f>
        <v/>
      </c>
      <c r="D152" s="209" t="str">
        <f>IFERROR(VLOOKUP($B152,'Institution Evaluation'!$A$55:$F$345,3,0),IFERROR(VLOOKUP($B152,'Privacy Analyst Evaluation'!$A$46:$F$120,3,0),""))&amp;""</f>
        <v/>
      </c>
      <c r="E152" s="209" t="str">
        <f>IFERROR(VLOOKUP($B152,'Institution Evaluation'!$A$55:$F$345,4,0),IFERROR(VLOOKUP($B152,'Privacy Analyst Evaluation'!$A$46:$F$120,4,0),""))&amp;""</f>
        <v/>
      </c>
      <c r="F152" s="209" t="str">
        <f>IFERROR(VLOOKUP($B152,'Institution Evaluation'!$A$55:$F$345,6,0),IFERROR(VLOOKUP($B152,'Privacy Analyst Evaluation'!$A$46:$F$120,6,0),""))&amp;""</f>
        <v/>
      </c>
      <c r="G152" s="210"/>
      <c r="H152" s="209" t="str">
        <f>IFERROR(IF($H151+1&gt;'(backend scoring)'!$Q$335,"",$H151+1),"")</f>
        <v/>
      </c>
      <c r="I152" s="209" t="str">
        <f>_xlfn.XLOOKUP($H152,'(backend scoring)'!$S$2:$S$333,'(backend scoring)'!$A$2:$A$333,"")</f>
        <v/>
      </c>
      <c r="J152" s="209" t="str">
        <f>IFERROR(VLOOKUP($I152,'Institution Evaluation'!$A$55:$F$345,2,0),IFERROR(VLOOKUP($I152,'Privacy Analyst Evaluation'!$A$46:$F$120,2,0),""))</f>
        <v/>
      </c>
      <c r="K152" s="209" t="str">
        <f>IFERROR(VLOOKUP($I152,'Institution Evaluation'!$A$55:$F$345,3,0),IFERROR(VLOOKUP($I152,'Privacy Analyst Evaluation'!$A$46:$F$120,3,0),""))&amp;""</f>
        <v/>
      </c>
      <c r="L152" s="209" t="str">
        <f>IFERROR(VLOOKUP($I152,'Institution Evaluation'!$A$55:$F$345,4,0),IFERROR(VLOOKUP($I152,'Privacy Analyst Evaluation'!$A$46:$F$120,4,0),""))&amp;""</f>
        <v/>
      </c>
      <c r="M152" s="209" t="str">
        <f>IFERROR(VLOOKUP($I152,'Institution Evaluation'!$A$55:$F$345,6,0),IFERROR(VLOOKUP($I152,'Privacy Analyst Evaluation'!$A$46:$F$120,6,0),""))&amp;""</f>
        <v/>
      </c>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row>
    <row r="153" spans="1:338" x14ac:dyDescent="0.3">
      <c r="A153" s="209" t="str">
        <f>IFERROR(IF($A152+1&gt;'(backend scoring)'!$T$335,"",$A152+1),"")</f>
        <v/>
      </c>
      <c r="B153" s="209" t="str">
        <f>_xlfn.XLOOKUP($A153,'(backend scoring)'!$V$2:$V$333,'(backend scoring)'!$A$2:$A$333,"")</f>
        <v/>
      </c>
      <c r="C153" s="209" t="str">
        <f>IFERROR(VLOOKUP($B153,'Institution Evaluation'!$A$55:$F$345,2,0),IFERROR(VLOOKUP($B153,'Privacy Analyst Evaluation'!$A$46:$F$120,2,0),""))&amp;""</f>
        <v/>
      </c>
      <c r="D153" s="209" t="str">
        <f>IFERROR(VLOOKUP($B153,'Institution Evaluation'!$A$55:$F$345,3,0),IFERROR(VLOOKUP($B153,'Privacy Analyst Evaluation'!$A$46:$F$120,3,0),""))&amp;""</f>
        <v/>
      </c>
      <c r="E153" s="209" t="str">
        <f>IFERROR(VLOOKUP($B153,'Institution Evaluation'!$A$55:$F$345,4,0),IFERROR(VLOOKUP($B153,'Privacy Analyst Evaluation'!$A$46:$F$120,4,0),""))&amp;""</f>
        <v/>
      </c>
      <c r="F153" s="209" t="str">
        <f>IFERROR(VLOOKUP($B153,'Institution Evaluation'!$A$55:$F$345,6,0),IFERROR(VLOOKUP($B153,'Privacy Analyst Evaluation'!$A$46:$F$120,6,0),""))&amp;""</f>
        <v/>
      </c>
      <c r="G153" s="210"/>
      <c r="H153" s="209" t="str">
        <f>IFERROR(IF($H152+1&gt;'(backend scoring)'!$Q$335,"",$H152+1),"")</f>
        <v/>
      </c>
      <c r="I153" s="209" t="str">
        <f>_xlfn.XLOOKUP($H153,'(backend scoring)'!$S$2:$S$333,'(backend scoring)'!$A$2:$A$333,"")</f>
        <v/>
      </c>
      <c r="J153" s="209" t="str">
        <f>IFERROR(VLOOKUP($I153,'Institution Evaluation'!$A$55:$F$345,2,0),IFERROR(VLOOKUP($I153,'Privacy Analyst Evaluation'!$A$46:$F$120,2,0),""))</f>
        <v/>
      </c>
      <c r="K153" s="209" t="str">
        <f>IFERROR(VLOOKUP($I153,'Institution Evaluation'!$A$55:$F$345,3,0),IFERROR(VLOOKUP($I153,'Privacy Analyst Evaluation'!$A$46:$F$120,3,0),""))&amp;""</f>
        <v/>
      </c>
      <c r="L153" s="209" t="str">
        <f>IFERROR(VLOOKUP($I153,'Institution Evaluation'!$A$55:$F$345,4,0),IFERROR(VLOOKUP($I153,'Privacy Analyst Evaluation'!$A$46:$F$120,4,0),""))&amp;""</f>
        <v/>
      </c>
      <c r="M153" s="209" t="str">
        <f>IFERROR(VLOOKUP($I153,'Institution Evaluation'!$A$55:$F$345,6,0),IFERROR(VLOOKUP($I153,'Privacy Analyst Evaluation'!$A$46:$F$120,6,0),""))&amp;""</f>
        <v/>
      </c>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row>
    <row r="154" spans="1:338" x14ac:dyDescent="0.3">
      <c r="A154" s="209" t="str">
        <f>IFERROR(IF($A153+1&gt;'(backend scoring)'!$T$335,"",$A153+1),"")</f>
        <v/>
      </c>
      <c r="B154" s="209" t="str">
        <f>_xlfn.XLOOKUP($A154,'(backend scoring)'!$V$2:$V$333,'(backend scoring)'!$A$2:$A$333,"")</f>
        <v/>
      </c>
      <c r="C154" s="209" t="str">
        <f>IFERROR(VLOOKUP($B154,'Institution Evaluation'!$A$55:$F$345,2,0),IFERROR(VLOOKUP($B154,'Privacy Analyst Evaluation'!$A$46:$F$120,2,0),""))&amp;""</f>
        <v/>
      </c>
      <c r="D154" s="209" t="str">
        <f>IFERROR(VLOOKUP($B154,'Institution Evaluation'!$A$55:$F$345,3,0),IFERROR(VLOOKUP($B154,'Privacy Analyst Evaluation'!$A$46:$F$120,3,0),""))&amp;""</f>
        <v/>
      </c>
      <c r="E154" s="209" t="str">
        <f>IFERROR(VLOOKUP($B154,'Institution Evaluation'!$A$55:$F$345,4,0),IFERROR(VLOOKUP($B154,'Privacy Analyst Evaluation'!$A$46:$F$120,4,0),""))&amp;""</f>
        <v/>
      </c>
      <c r="F154" s="209" t="str">
        <f>IFERROR(VLOOKUP($B154,'Institution Evaluation'!$A$55:$F$345,6,0),IFERROR(VLOOKUP($B154,'Privacy Analyst Evaluation'!$A$46:$F$120,6,0),""))&amp;""</f>
        <v/>
      </c>
      <c r="G154" s="210"/>
      <c r="H154" s="209" t="str">
        <f>IFERROR(IF($H153+1&gt;'(backend scoring)'!$Q$335,"",$H153+1),"")</f>
        <v/>
      </c>
      <c r="I154" s="209" t="str">
        <f>_xlfn.XLOOKUP($H154,'(backend scoring)'!$S$2:$S$333,'(backend scoring)'!$A$2:$A$333,"")</f>
        <v/>
      </c>
      <c r="J154" s="209" t="str">
        <f>IFERROR(VLOOKUP($I154,'Institution Evaluation'!$A$55:$F$345,2,0),IFERROR(VLOOKUP($I154,'Privacy Analyst Evaluation'!$A$46:$F$120,2,0),""))</f>
        <v/>
      </c>
      <c r="K154" s="209" t="str">
        <f>IFERROR(VLOOKUP($I154,'Institution Evaluation'!$A$55:$F$345,3,0),IFERROR(VLOOKUP($I154,'Privacy Analyst Evaluation'!$A$46:$F$120,3,0),""))&amp;""</f>
        <v/>
      </c>
      <c r="L154" s="209" t="str">
        <f>IFERROR(VLOOKUP($I154,'Institution Evaluation'!$A$55:$F$345,4,0),IFERROR(VLOOKUP($I154,'Privacy Analyst Evaluation'!$A$46:$F$120,4,0),""))&amp;""</f>
        <v/>
      </c>
      <c r="M154" s="209" t="str">
        <f>IFERROR(VLOOKUP($I154,'Institution Evaluation'!$A$55:$F$345,6,0),IFERROR(VLOOKUP($I154,'Privacy Analyst Evaluation'!$A$46:$F$120,6,0),""))&amp;""</f>
        <v/>
      </c>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row>
    <row r="155" spans="1:338" x14ac:dyDescent="0.3">
      <c r="A155" s="209" t="str">
        <f>IFERROR(IF($A154+1&gt;'(backend scoring)'!$T$335,"",$A154+1),"")</f>
        <v/>
      </c>
      <c r="B155" s="209" t="str">
        <f>_xlfn.XLOOKUP($A155,'(backend scoring)'!$V$2:$V$333,'(backend scoring)'!$A$2:$A$333,"")</f>
        <v/>
      </c>
      <c r="C155" s="209" t="str">
        <f>IFERROR(VLOOKUP($B155,'Institution Evaluation'!$A$55:$F$345,2,0),IFERROR(VLOOKUP($B155,'Privacy Analyst Evaluation'!$A$46:$F$120,2,0),""))&amp;""</f>
        <v/>
      </c>
      <c r="D155" s="209" t="str">
        <f>IFERROR(VLOOKUP($B155,'Institution Evaluation'!$A$55:$F$345,3,0),IFERROR(VLOOKUP($B155,'Privacy Analyst Evaluation'!$A$46:$F$120,3,0),""))&amp;""</f>
        <v/>
      </c>
      <c r="E155" s="209" t="str">
        <f>IFERROR(VLOOKUP($B155,'Institution Evaluation'!$A$55:$F$345,4,0),IFERROR(VLOOKUP($B155,'Privacy Analyst Evaluation'!$A$46:$F$120,4,0),""))&amp;""</f>
        <v/>
      </c>
      <c r="F155" s="209" t="str">
        <f>IFERROR(VLOOKUP($B155,'Institution Evaluation'!$A$55:$F$345,6,0),IFERROR(VLOOKUP($B155,'Privacy Analyst Evaluation'!$A$46:$F$120,6,0),""))&amp;""</f>
        <v/>
      </c>
      <c r="G155" s="210"/>
      <c r="H155" s="209" t="str">
        <f>IFERROR(IF($H154+1&gt;'(backend scoring)'!$Q$335,"",$H154+1),"")</f>
        <v/>
      </c>
      <c r="I155" s="209" t="str">
        <f>_xlfn.XLOOKUP($H155,'(backend scoring)'!$S$2:$S$333,'(backend scoring)'!$A$2:$A$333,"")</f>
        <v/>
      </c>
      <c r="J155" s="209" t="str">
        <f>IFERROR(VLOOKUP($I155,'Institution Evaluation'!$A$55:$F$345,2,0),IFERROR(VLOOKUP($I155,'Privacy Analyst Evaluation'!$A$46:$F$120,2,0),""))</f>
        <v/>
      </c>
      <c r="K155" s="209" t="str">
        <f>IFERROR(VLOOKUP($I155,'Institution Evaluation'!$A$55:$F$345,3,0),IFERROR(VLOOKUP($I155,'Privacy Analyst Evaluation'!$A$46:$F$120,3,0),""))&amp;""</f>
        <v/>
      </c>
      <c r="L155" s="209" t="str">
        <f>IFERROR(VLOOKUP($I155,'Institution Evaluation'!$A$55:$F$345,4,0),IFERROR(VLOOKUP($I155,'Privacy Analyst Evaluation'!$A$46:$F$120,4,0),""))&amp;""</f>
        <v/>
      </c>
      <c r="M155" s="209" t="str">
        <f>IFERROR(VLOOKUP($I155,'Institution Evaluation'!$A$55:$F$345,6,0),IFERROR(VLOOKUP($I155,'Privacy Analyst Evaluation'!$A$46:$F$120,6,0),""))&amp;""</f>
        <v/>
      </c>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row>
    <row r="156" spans="1:338" x14ac:dyDescent="0.3">
      <c r="A156" s="209" t="str">
        <f>IFERROR(IF($A155+1&gt;'(backend scoring)'!$T$335,"",$A155+1),"")</f>
        <v/>
      </c>
      <c r="B156" s="209" t="str">
        <f>_xlfn.XLOOKUP($A156,'(backend scoring)'!$V$2:$V$333,'(backend scoring)'!$A$2:$A$333,"")</f>
        <v/>
      </c>
      <c r="C156" s="209" t="str">
        <f>IFERROR(VLOOKUP($B156,'Institution Evaluation'!$A$55:$F$345,2,0),IFERROR(VLOOKUP($B156,'Privacy Analyst Evaluation'!$A$46:$F$120,2,0),""))&amp;""</f>
        <v/>
      </c>
      <c r="D156" s="209" t="str">
        <f>IFERROR(VLOOKUP($B156,'Institution Evaluation'!$A$55:$F$345,3,0),IFERROR(VLOOKUP($B156,'Privacy Analyst Evaluation'!$A$46:$F$120,3,0),""))&amp;""</f>
        <v/>
      </c>
      <c r="E156" s="209" t="str">
        <f>IFERROR(VLOOKUP($B156,'Institution Evaluation'!$A$55:$F$345,4,0),IFERROR(VLOOKUP($B156,'Privacy Analyst Evaluation'!$A$46:$F$120,4,0),""))&amp;""</f>
        <v/>
      </c>
      <c r="F156" s="209" t="str">
        <f>IFERROR(VLOOKUP($B156,'Institution Evaluation'!$A$55:$F$345,6,0),IFERROR(VLOOKUP($B156,'Privacy Analyst Evaluation'!$A$46:$F$120,6,0),""))&amp;""</f>
        <v/>
      </c>
      <c r="G156" s="210"/>
      <c r="H156" s="209" t="str">
        <f>IFERROR(IF($H155+1&gt;'(backend scoring)'!$Q$335,"",$H155+1),"")</f>
        <v/>
      </c>
      <c r="I156" s="209" t="str">
        <f>_xlfn.XLOOKUP($H156,'(backend scoring)'!$S$2:$S$333,'(backend scoring)'!$A$2:$A$333,"")</f>
        <v/>
      </c>
      <c r="J156" s="209" t="str">
        <f>IFERROR(VLOOKUP($I156,'Institution Evaluation'!$A$55:$F$345,2,0),IFERROR(VLOOKUP($I156,'Privacy Analyst Evaluation'!$A$46:$F$120,2,0),""))</f>
        <v/>
      </c>
      <c r="K156" s="209" t="str">
        <f>IFERROR(VLOOKUP($I156,'Institution Evaluation'!$A$55:$F$345,3,0),IFERROR(VLOOKUP($I156,'Privacy Analyst Evaluation'!$A$46:$F$120,3,0),""))&amp;""</f>
        <v/>
      </c>
      <c r="L156" s="209" t="str">
        <f>IFERROR(VLOOKUP($I156,'Institution Evaluation'!$A$55:$F$345,4,0),IFERROR(VLOOKUP($I156,'Privacy Analyst Evaluation'!$A$46:$F$120,4,0),""))&amp;""</f>
        <v/>
      </c>
      <c r="M156" s="209" t="str">
        <f>IFERROR(VLOOKUP($I156,'Institution Evaluation'!$A$55:$F$345,6,0),IFERROR(VLOOKUP($I156,'Privacy Analyst Evaluation'!$A$46:$F$120,6,0),""))&amp;""</f>
        <v/>
      </c>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row>
    <row r="157" spans="1:338" x14ac:dyDescent="0.3">
      <c r="A157" s="209" t="str">
        <f>IFERROR(IF($A156+1&gt;'(backend scoring)'!$T$335,"",$A156+1),"")</f>
        <v/>
      </c>
      <c r="B157" s="209" t="str">
        <f>_xlfn.XLOOKUP($A157,'(backend scoring)'!$V$2:$V$333,'(backend scoring)'!$A$2:$A$333,"")</f>
        <v/>
      </c>
      <c r="C157" s="209" t="str">
        <f>IFERROR(VLOOKUP($B157,'Institution Evaluation'!$A$55:$F$345,2,0),IFERROR(VLOOKUP($B157,'Privacy Analyst Evaluation'!$A$46:$F$120,2,0),""))&amp;""</f>
        <v/>
      </c>
      <c r="D157" s="209" t="str">
        <f>IFERROR(VLOOKUP($B157,'Institution Evaluation'!$A$55:$F$345,3,0),IFERROR(VLOOKUP($B157,'Privacy Analyst Evaluation'!$A$46:$F$120,3,0),""))&amp;""</f>
        <v/>
      </c>
      <c r="E157" s="209" t="str">
        <f>IFERROR(VLOOKUP($B157,'Institution Evaluation'!$A$55:$F$345,4,0),IFERROR(VLOOKUP($B157,'Privacy Analyst Evaluation'!$A$46:$F$120,4,0),""))&amp;""</f>
        <v/>
      </c>
      <c r="F157" s="209" t="str">
        <f>IFERROR(VLOOKUP($B157,'Institution Evaluation'!$A$55:$F$345,6,0),IFERROR(VLOOKUP($B157,'Privacy Analyst Evaluation'!$A$46:$F$120,6,0),""))&amp;""</f>
        <v/>
      </c>
      <c r="G157" s="210"/>
      <c r="H157" s="209" t="str">
        <f>IFERROR(IF($H156+1&gt;'(backend scoring)'!$Q$335,"",$H156+1),"")</f>
        <v/>
      </c>
      <c r="I157" s="209" t="str">
        <f>_xlfn.XLOOKUP($H157,'(backend scoring)'!$S$2:$S$333,'(backend scoring)'!$A$2:$A$333,"")</f>
        <v/>
      </c>
      <c r="J157" s="209" t="str">
        <f>IFERROR(VLOOKUP($I157,'Institution Evaluation'!$A$55:$F$345,2,0),IFERROR(VLOOKUP($I157,'Privacy Analyst Evaluation'!$A$46:$F$120,2,0),""))</f>
        <v/>
      </c>
      <c r="K157" s="209" t="str">
        <f>IFERROR(VLOOKUP($I157,'Institution Evaluation'!$A$55:$F$345,3,0),IFERROR(VLOOKUP($I157,'Privacy Analyst Evaluation'!$A$46:$F$120,3,0),""))&amp;""</f>
        <v/>
      </c>
      <c r="L157" s="209" t="str">
        <f>IFERROR(VLOOKUP($I157,'Institution Evaluation'!$A$55:$F$345,4,0),IFERROR(VLOOKUP($I157,'Privacy Analyst Evaluation'!$A$46:$F$120,4,0),""))&amp;""</f>
        <v/>
      </c>
      <c r="M157" s="209" t="str">
        <f>IFERROR(VLOOKUP($I157,'Institution Evaluation'!$A$55:$F$345,6,0),IFERROR(VLOOKUP($I157,'Privacy Analyst Evaluation'!$A$46:$F$120,6,0),""))&amp;""</f>
        <v/>
      </c>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row>
    <row r="158" spans="1:338" x14ac:dyDescent="0.3">
      <c r="A158" s="209" t="str">
        <f>IFERROR(IF($A157+1&gt;'(backend scoring)'!$T$335,"",$A157+1),"")</f>
        <v/>
      </c>
      <c r="B158" s="209" t="str">
        <f>_xlfn.XLOOKUP($A158,'(backend scoring)'!$V$2:$V$333,'(backend scoring)'!$A$2:$A$333,"")</f>
        <v/>
      </c>
      <c r="C158" s="209" t="str">
        <f>IFERROR(VLOOKUP($B158,'Institution Evaluation'!$A$55:$F$345,2,0),IFERROR(VLOOKUP($B158,'Privacy Analyst Evaluation'!$A$46:$F$120,2,0),""))&amp;""</f>
        <v/>
      </c>
      <c r="D158" s="209" t="str">
        <f>IFERROR(VLOOKUP($B158,'Institution Evaluation'!$A$55:$F$345,3,0),IFERROR(VLOOKUP($B158,'Privacy Analyst Evaluation'!$A$46:$F$120,3,0),""))&amp;""</f>
        <v/>
      </c>
      <c r="E158" s="209" t="str">
        <f>IFERROR(VLOOKUP($B158,'Institution Evaluation'!$A$55:$F$345,4,0),IFERROR(VLOOKUP($B158,'Privacy Analyst Evaluation'!$A$46:$F$120,4,0),""))&amp;""</f>
        <v/>
      </c>
      <c r="F158" s="209" t="str">
        <f>IFERROR(VLOOKUP($B158,'Institution Evaluation'!$A$55:$F$345,6,0),IFERROR(VLOOKUP($B158,'Privacy Analyst Evaluation'!$A$46:$F$120,6,0),""))&amp;""</f>
        <v/>
      </c>
      <c r="G158" s="210"/>
      <c r="H158" s="209" t="str">
        <f>IFERROR(IF($H157+1&gt;'(backend scoring)'!$Q$335,"",$H157+1),"")</f>
        <v/>
      </c>
      <c r="I158" s="209" t="str">
        <f>_xlfn.XLOOKUP($H158,'(backend scoring)'!$S$2:$S$333,'(backend scoring)'!$A$2:$A$333,"")</f>
        <v/>
      </c>
      <c r="J158" s="209" t="str">
        <f>IFERROR(VLOOKUP($I158,'Institution Evaluation'!$A$55:$F$345,2,0),IFERROR(VLOOKUP($I158,'Privacy Analyst Evaluation'!$A$46:$F$120,2,0),""))</f>
        <v/>
      </c>
      <c r="K158" s="209" t="str">
        <f>IFERROR(VLOOKUP($I158,'Institution Evaluation'!$A$55:$F$345,3,0),IFERROR(VLOOKUP($I158,'Privacy Analyst Evaluation'!$A$46:$F$120,3,0),""))&amp;""</f>
        <v/>
      </c>
      <c r="L158" s="209" t="str">
        <f>IFERROR(VLOOKUP($I158,'Institution Evaluation'!$A$55:$F$345,4,0),IFERROR(VLOOKUP($I158,'Privacy Analyst Evaluation'!$A$46:$F$120,4,0),""))&amp;""</f>
        <v/>
      </c>
      <c r="M158" s="209" t="str">
        <f>IFERROR(VLOOKUP($I158,'Institution Evaluation'!$A$55:$F$345,6,0),IFERROR(VLOOKUP($I158,'Privacy Analyst Evaluation'!$A$46:$F$120,6,0),""))&amp;""</f>
        <v/>
      </c>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row>
    <row r="159" spans="1:338" x14ac:dyDescent="0.3">
      <c r="A159" s="209" t="str">
        <f>IFERROR(IF($A158+1&gt;'(backend scoring)'!$T$335,"",$A158+1),"")</f>
        <v/>
      </c>
      <c r="B159" s="209" t="str">
        <f>_xlfn.XLOOKUP($A159,'(backend scoring)'!$V$2:$V$333,'(backend scoring)'!$A$2:$A$333,"")</f>
        <v/>
      </c>
      <c r="C159" s="209" t="str">
        <f>IFERROR(VLOOKUP($B159,'Institution Evaluation'!$A$55:$F$345,2,0),IFERROR(VLOOKUP($B159,'Privacy Analyst Evaluation'!$A$46:$F$120,2,0),""))&amp;""</f>
        <v/>
      </c>
      <c r="D159" s="209" t="str">
        <f>IFERROR(VLOOKUP($B159,'Institution Evaluation'!$A$55:$F$345,3,0),IFERROR(VLOOKUP($B159,'Privacy Analyst Evaluation'!$A$46:$F$120,3,0),""))&amp;""</f>
        <v/>
      </c>
      <c r="E159" s="209" t="str">
        <f>IFERROR(VLOOKUP($B159,'Institution Evaluation'!$A$55:$F$345,4,0),IFERROR(VLOOKUP($B159,'Privacy Analyst Evaluation'!$A$46:$F$120,4,0),""))&amp;""</f>
        <v/>
      </c>
      <c r="F159" s="209" t="str">
        <f>IFERROR(VLOOKUP($B159,'Institution Evaluation'!$A$55:$F$345,6,0),IFERROR(VLOOKUP($B159,'Privacy Analyst Evaluation'!$A$46:$F$120,6,0),""))&amp;""</f>
        <v/>
      </c>
      <c r="G159" s="210"/>
      <c r="H159" s="209" t="str">
        <f>IFERROR(IF($H158+1&gt;'(backend scoring)'!$Q$335,"",$H158+1),"")</f>
        <v/>
      </c>
      <c r="I159" s="209" t="str">
        <f>_xlfn.XLOOKUP($H159,'(backend scoring)'!$S$2:$S$333,'(backend scoring)'!$A$2:$A$333,"")</f>
        <v/>
      </c>
      <c r="J159" s="209" t="str">
        <f>IFERROR(VLOOKUP($I159,'Institution Evaluation'!$A$55:$F$345,2,0),IFERROR(VLOOKUP($I159,'Privacy Analyst Evaluation'!$A$46:$F$120,2,0),""))</f>
        <v/>
      </c>
      <c r="K159" s="209" t="str">
        <f>IFERROR(VLOOKUP($I159,'Institution Evaluation'!$A$55:$F$345,3,0),IFERROR(VLOOKUP($I159,'Privacy Analyst Evaluation'!$A$46:$F$120,3,0),""))&amp;""</f>
        <v/>
      </c>
      <c r="L159" s="209" t="str">
        <f>IFERROR(VLOOKUP($I159,'Institution Evaluation'!$A$55:$F$345,4,0),IFERROR(VLOOKUP($I159,'Privacy Analyst Evaluation'!$A$46:$F$120,4,0),""))&amp;""</f>
        <v/>
      </c>
      <c r="M159" s="209" t="str">
        <f>IFERROR(VLOOKUP($I159,'Institution Evaluation'!$A$55:$F$345,6,0),IFERROR(VLOOKUP($I159,'Privacy Analyst Evaluation'!$A$46:$F$120,6,0),""))&amp;""</f>
        <v/>
      </c>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row>
    <row r="160" spans="1:338" x14ac:dyDescent="0.3">
      <c r="A160" s="209" t="str">
        <f>IFERROR(IF($A159+1&gt;'(backend scoring)'!$T$335,"",$A159+1),"")</f>
        <v/>
      </c>
      <c r="B160" s="209" t="str">
        <f>_xlfn.XLOOKUP($A160,'(backend scoring)'!$V$2:$V$333,'(backend scoring)'!$A$2:$A$333,"")</f>
        <v/>
      </c>
      <c r="C160" s="209" t="str">
        <f>IFERROR(VLOOKUP($B160,'Institution Evaluation'!$A$55:$F$345,2,0),IFERROR(VLOOKUP($B160,'Privacy Analyst Evaluation'!$A$46:$F$120,2,0),""))&amp;""</f>
        <v/>
      </c>
      <c r="D160" s="209" t="str">
        <f>IFERROR(VLOOKUP($B160,'Institution Evaluation'!$A$55:$F$345,3,0),IFERROR(VLOOKUP($B160,'Privacy Analyst Evaluation'!$A$46:$F$120,3,0),""))&amp;""</f>
        <v/>
      </c>
      <c r="E160" s="209" t="str">
        <f>IFERROR(VLOOKUP($B160,'Institution Evaluation'!$A$55:$F$345,4,0),IFERROR(VLOOKUP($B160,'Privacy Analyst Evaluation'!$A$46:$F$120,4,0),""))&amp;""</f>
        <v/>
      </c>
      <c r="F160" s="209" t="str">
        <f>IFERROR(VLOOKUP($B160,'Institution Evaluation'!$A$55:$F$345,6,0),IFERROR(VLOOKUP($B160,'Privacy Analyst Evaluation'!$A$46:$F$120,6,0),""))&amp;""</f>
        <v/>
      </c>
      <c r="G160" s="210"/>
      <c r="H160" s="209" t="str">
        <f>IFERROR(IF($H159+1&gt;'(backend scoring)'!$Q$335,"",$H159+1),"")</f>
        <v/>
      </c>
      <c r="I160" s="209" t="str">
        <f>_xlfn.XLOOKUP($H160,'(backend scoring)'!$S$2:$S$333,'(backend scoring)'!$A$2:$A$333,"")</f>
        <v/>
      </c>
      <c r="J160" s="209" t="str">
        <f>IFERROR(VLOOKUP($I160,'Institution Evaluation'!$A$55:$F$345,2,0),IFERROR(VLOOKUP($I160,'Privacy Analyst Evaluation'!$A$46:$F$120,2,0),""))</f>
        <v/>
      </c>
      <c r="K160" s="209" t="str">
        <f>IFERROR(VLOOKUP($I160,'Institution Evaluation'!$A$55:$F$345,3,0),IFERROR(VLOOKUP($I160,'Privacy Analyst Evaluation'!$A$46:$F$120,3,0),""))&amp;""</f>
        <v/>
      </c>
      <c r="L160" s="209" t="str">
        <f>IFERROR(VLOOKUP($I160,'Institution Evaluation'!$A$55:$F$345,4,0),IFERROR(VLOOKUP($I160,'Privacy Analyst Evaluation'!$A$46:$F$120,4,0),""))&amp;""</f>
        <v/>
      </c>
      <c r="M160" s="209" t="str">
        <f>IFERROR(VLOOKUP($I160,'Institution Evaluation'!$A$55:$F$345,6,0),IFERROR(VLOOKUP($I160,'Privacy Analyst Evaluation'!$A$46:$F$120,6,0),""))&amp;""</f>
        <v/>
      </c>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row>
    <row r="161" spans="1:338" x14ac:dyDescent="0.3">
      <c r="A161" s="209" t="str">
        <f>IFERROR(IF($A160+1&gt;'(backend scoring)'!$T$335,"",$A160+1),"")</f>
        <v/>
      </c>
      <c r="B161" s="209" t="str">
        <f>_xlfn.XLOOKUP($A161,'(backend scoring)'!$V$2:$V$333,'(backend scoring)'!$A$2:$A$333,"")</f>
        <v/>
      </c>
      <c r="C161" s="209" t="str">
        <f>IFERROR(VLOOKUP($B161,'Institution Evaluation'!$A$55:$F$345,2,0),IFERROR(VLOOKUP($B161,'Privacy Analyst Evaluation'!$A$46:$F$120,2,0),""))&amp;""</f>
        <v/>
      </c>
      <c r="D161" s="209" t="str">
        <f>IFERROR(VLOOKUP($B161,'Institution Evaluation'!$A$55:$F$345,3,0),IFERROR(VLOOKUP($B161,'Privacy Analyst Evaluation'!$A$46:$F$120,3,0),""))&amp;""</f>
        <v/>
      </c>
      <c r="E161" s="209" t="str">
        <f>IFERROR(VLOOKUP($B161,'Institution Evaluation'!$A$55:$F$345,4,0),IFERROR(VLOOKUP($B161,'Privacy Analyst Evaluation'!$A$46:$F$120,4,0),""))&amp;""</f>
        <v/>
      </c>
      <c r="F161" s="209" t="str">
        <f>IFERROR(VLOOKUP($B161,'Institution Evaluation'!$A$55:$F$345,6,0),IFERROR(VLOOKUP($B161,'Privacy Analyst Evaluation'!$A$46:$F$120,6,0),""))&amp;""</f>
        <v/>
      </c>
      <c r="G161" s="210"/>
      <c r="H161" s="209" t="str">
        <f>IFERROR(IF($H160+1&gt;'(backend scoring)'!$Q$335,"",$H160+1),"")</f>
        <v/>
      </c>
      <c r="I161" s="209" t="str">
        <f>_xlfn.XLOOKUP($H161,'(backend scoring)'!$S$2:$S$333,'(backend scoring)'!$A$2:$A$333,"")</f>
        <v/>
      </c>
      <c r="J161" s="209" t="str">
        <f>IFERROR(VLOOKUP($I161,'Institution Evaluation'!$A$55:$F$345,2,0),IFERROR(VLOOKUP($I161,'Privacy Analyst Evaluation'!$A$46:$F$120,2,0),""))</f>
        <v/>
      </c>
      <c r="K161" s="209" t="str">
        <f>IFERROR(VLOOKUP($I161,'Institution Evaluation'!$A$55:$F$345,3,0),IFERROR(VLOOKUP($I161,'Privacy Analyst Evaluation'!$A$46:$F$120,3,0),""))&amp;""</f>
        <v/>
      </c>
      <c r="L161" s="209" t="str">
        <f>IFERROR(VLOOKUP($I161,'Institution Evaluation'!$A$55:$F$345,4,0),IFERROR(VLOOKUP($I161,'Privacy Analyst Evaluation'!$A$46:$F$120,4,0),""))&amp;""</f>
        <v/>
      </c>
      <c r="M161" s="209" t="str">
        <f>IFERROR(VLOOKUP($I161,'Institution Evaluation'!$A$55:$F$345,6,0),IFERROR(VLOOKUP($I161,'Privacy Analyst Evaluation'!$A$46:$F$120,6,0),""))&amp;""</f>
        <v/>
      </c>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row>
    <row r="162" spans="1:338" x14ac:dyDescent="0.3">
      <c r="A162" s="209" t="str">
        <f>IFERROR(IF($A161+1&gt;'(backend scoring)'!$T$335,"",$A161+1),"")</f>
        <v/>
      </c>
      <c r="B162" s="209" t="str">
        <f>_xlfn.XLOOKUP($A162,'(backend scoring)'!$V$2:$V$333,'(backend scoring)'!$A$2:$A$333,"")</f>
        <v/>
      </c>
      <c r="C162" s="209" t="str">
        <f>IFERROR(VLOOKUP($B162,'Institution Evaluation'!$A$55:$F$345,2,0),IFERROR(VLOOKUP($B162,'Privacy Analyst Evaluation'!$A$46:$F$120,2,0),""))&amp;""</f>
        <v/>
      </c>
      <c r="D162" s="209" t="str">
        <f>IFERROR(VLOOKUP($B162,'Institution Evaluation'!$A$55:$F$345,3,0),IFERROR(VLOOKUP($B162,'Privacy Analyst Evaluation'!$A$46:$F$120,3,0),""))&amp;""</f>
        <v/>
      </c>
      <c r="E162" s="209" t="str">
        <f>IFERROR(VLOOKUP($B162,'Institution Evaluation'!$A$55:$F$345,4,0),IFERROR(VLOOKUP($B162,'Privacy Analyst Evaluation'!$A$46:$F$120,4,0),""))&amp;""</f>
        <v/>
      </c>
      <c r="F162" s="209" t="str">
        <f>IFERROR(VLOOKUP($B162,'Institution Evaluation'!$A$55:$F$345,6,0),IFERROR(VLOOKUP($B162,'Privacy Analyst Evaluation'!$A$46:$F$120,6,0),""))&amp;""</f>
        <v/>
      </c>
      <c r="G162" s="210"/>
      <c r="H162" s="209" t="str">
        <f>IFERROR(IF($H161+1&gt;'(backend scoring)'!$Q$335,"",$H161+1),"")</f>
        <v/>
      </c>
      <c r="I162" s="209" t="str">
        <f>_xlfn.XLOOKUP($H162,'(backend scoring)'!$S$2:$S$333,'(backend scoring)'!$A$2:$A$333,"")</f>
        <v/>
      </c>
      <c r="J162" s="209" t="str">
        <f>IFERROR(VLOOKUP($I162,'Institution Evaluation'!$A$55:$F$345,2,0),IFERROR(VLOOKUP($I162,'Privacy Analyst Evaluation'!$A$46:$F$120,2,0),""))</f>
        <v/>
      </c>
      <c r="K162" s="209" t="str">
        <f>IFERROR(VLOOKUP($I162,'Institution Evaluation'!$A$55:$F$345,3,0),IFERROR(VLOOKUP($I162,'Privacy Analyst Evaluation'!$A$46:$F$120,3,0),""))&amp;""</f>
        <v/>
      </c>
      <c r="L162" s="209" t="str">
        <f>IFERROR(VLOOKUP($I162,'Institution Evaluation'!$A$55:$F$345,4,0),IFERROR(VLOOKUP($I162,'Privacy Analyst Evaluation'!$A$46:$F$120,4,0),""))&amp;""</f>
        <v/>
      </c>
      <c r="M162" s="209" t="str">
        <f>IFERROR(VLOOKUP($I162,'Institution Evaluation'!$A$55:$F$345,6,0),IFERROR(VLOOKUP($I162,'Privacy Analyst Evaluation'!$A$46:$F$120,6,0),""))&amp;""</f>
        <v/>
      </c>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row>
    <row r="163" spans="1:338" x14ac:dyDescent="0.3">
      <c r="A163" s="209" t="str">
        <f>IFERROR(IF($A162+1&gt;'(backend scoring)'!$T$335,"",$A162+1),"")</f>
        <v/>
      </c>
      <c r="B163" s="209" t="str">
        <f>_xlfn.XLOOKUP($A163,'(backend scoring)'!$V$2:$V$333,'(backend scoring)'!$A$2:$A$333,"")</f>
        <v/>
      </c>
      <c r="C163" s="209" t="str">
        <f>IFERROR(VLOOKUP($B163,'Institution Evaluation'!$A$55:$F$345,2,0),IFERROR(VLOOKUP($B163,'Privacy Analyst Evaluation'!$A$46:$F$120,2,0),""))&amp;""</f>
        <v/>
      </c>
      <c r="D163" s="209" t="str">
        <f>IFERROR(VLOOKUP($B163,'Institution Evaluation'!$A$55:$F$345,3,0),IFERROR(VLOOKUP($B163,'Privacy Analyst Evaluation'!$A$46:$F$120,3,0),""))&amp;""</f>
        <v/>
      </c>
      <c r="E163" s="209" t="str">
        <f>IFERROR(VLOOKUP($B163,'Institution Evaluation'!$A$55:$F$345,4,0),IFERROR(VLOOKUP($B163,'Privacy Analyst Evaluation'!$A$46:$F$120,4,0),""))&amp;""</f>
        <v/>
      </c>
      <c r="F163" s="209" t="str">
        <f>IFERROR(VLOOKUP($B163,'Institution Evaluation'!$A$55:$F$345,6,0),IFERROR(VLOOKUP($B163,'Privacy Analyst Evaluation'!$A$46:$F$120,6,0),""))&amp;""</f>
        <v/>
      </c>
      <c r="G163" s="210"/>
      <c r="H163" s="209" t="str">
        <f>IFERROR(IF($H162+1&gt;'(backend scoring)'!$Q$335,"",$H162+1),"")</f>
        <v/>
      </c>
      <c r="I163" s="209" t="str">
        <f>_xlfn.XLOOKUP($H163,'(backend scoring)'!$S$2:$S$333,'(backend scoring)'!$A$2:$A$333,"")</f>
        <v/>
      </c>
      <c r="J163" s="209" t="str">
        <f>IFERROR(VLOOKUP($I163,'Institution Evaluation'!$A$55:$F$345,2,0),IFERROR(VLOOKUP($I163,'Privacy Analyst Evaluation'!$A$46:$F$120,2,0),""))</f>
        <v/>
      </c>
      <c r="K163" s="209" t="str">
        <f>IFERROR(VLOOKUP($I163,'Institution Evaluation'!$A$55:$F$345,3,0),IFERROR(VLOOKUP($I163,'Privacy Analyst Evaluation'!$A$46:$F$120,3,0),""))&amp;""</f>
        <v/>
      </c>
      <c r="L163" s="209" t="str">
        <f>IFERROR(VLOOKUP($I163,'Institution Evaluation'!$A$55:$F$345,4,0),IFERROR(VLOOKUP($I163,'Privacy Analyst Evaluation'!$A$46:$F$120,4,0),""))&amp;""</f>
        <v/>
      </c>
      <c r="M163" s="209" t="str">
        <f>IFERROR(VLOOKUP($I163,'Institution Evaluation'!$A$55:$F$345,6,0),IFERROR(VLOOKUP($I163,'Privacy Analyst Evaluation'!$A$46:$F$120,6,0),""))&amp;""</f>
        <v/>
      </c>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row>
    <row r="164" spans="1:338" x14ac:dyDescent="0.3">
      <c r="A164" s="209" t="str">
        <f>IFERROR(IF($A163+1&gt;'(backend scoring)'!$T$335,"",$A163+1),"")</f>
        <v/>
      </c>
      <c r="B164" s="209" t="str">
        <f>_xlfn.XLOOKUP($A164,'(backend scoring)'!$V$2:$V$333,'(backend scoring)'!$A$2:$A$333,"")</f>
        <v/>
      </c>
      <c r="C164" s="209" t="str">
        <f>IFERROR(VLOOKUP($B164,'Institution Evaluation'!$A$55:$F$345,2,0),IFERROR(VLOOKUP($B164,'Privacy Analyst Evaluation'!$A$46:$F$120,2,0),""))&amp;""</f>
        <v/>
      </c>
      <c r="D164" s="209" t="str">
        <f>IFERROR(VLOOKUP($B164,'Institution Evaluation'!$A$55:$F$345,3,0),IFERROR(VLOOKUP($B164,'Privacy Analyst Evaluation'!$A$46:$F$120,3,0),""))&amp;""</f>
        <v/>
      </c>
      <c r="E164" s="209" t="str">
        <f>IFERROR(VLOOKUP($B164,'Institution Evaluation'!$A$55:$F$345,4,0),IFERROR(VLOOKUP($B164,'Privacy Analyst Evaluation'!$A$46:$F$120,4,0),""))&amp;""</f>
        <v/>
      </c>
      <c r="F164" s="209" t="str">
        <f>IFERROR(VLOOKUP($B164,'Institution Evaluation'!$A$55:$F$345,6,0),IFERROR(VLOOKUP($B164,'Privacy Analyst Evaluation'!$A$46:$F$120,6,0),""))&amp;""</f>
        <v/>
      </c>
      <c r="G164" s="210"/>
      <c r="H164" s="209" t="str">
        <f>IFERROR(IF($H163+1&gt;'(backend scoring)'!$Q$335,"",$H163+1),"")</f>
        <v/>
      </c>
      <c r="I164" s="209" t="str">
        <f>_xlfn.XLOOKUP($H164,'(backend scoring)'!$S$2:$S$333,'(backend scoring)'!$A$2:$A$333,"")</f>
        <v/>
      </c>
      <c r="J164" s="209" t="str">
        <f>IFERROR(VLOOKUP($I164,'Institution Evaluation'!$A$55:$F$345,2,0),IFERROR(VLOOKUP($I164,'Privacy Analyst Evaluation'!$A$46:$F$120,2,0),""))</f>
        <v/>
      </c>
      <c r="K164" s="209" t="str">
        <f>IFERROR(VLOOKUP($I164,'Institution Evaluation'!$A$55:$F$345,3,0),IFERROR(VLOOKUP($I164,'Privacy Analyst Evaluation'!$A$46:$F$120,3,0),""))&amp;""</f>
        <v/>
      </c>
      <c r="L164" s="209" t="str">
        <f>IFERROR(VLOOKUP($I164,'Institution Evaluation'!$A$55:$F$345,4,0),IFERROR(VLOOKUP($I164,'Privacy Analyst Evaluation'!$A$46:$F$120,4,0),""))&amp;""</f>
        <v/>
      </c>
      <c r="M164" s="209" t="str">
        <f>IFERROR(VLOOKUP($I164,'Institution Evaluation'!$A$55:$F$345,6,0),IFERROR(VLOOKUP($I164,'Privacy Analyst Evaluation'!$A$46:$F$120,6,0),""))&amp;""</f>
        <v/>
      </c>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row>
    <row r="165" spans="1:338" x14ac:dyDescent="0.3">
      <c r="A165" s="209" t="str">
        <f>IFERROR(IF($A164+1&gt;'(backend scoring)'!$T$335,"",$A164+1),"")</f>
        <v/>
      </c>
      <c r="B165" s="209" t="str">
        <f>_xlfn.XLOOKUP($A165,'(backend scoring)'!$V$2:$V$333,'(backend scoring)'!$A$2:$A$333,"")</f>
        <v/>
      </c>
      <c r="C165" s="209" t="str">
        <f>IFERROR(VLOOKUP($B165,'Institution Evaluation'!$A$55:$F$345,2,0),IFERROR(VLOOKUP($B165,'Privacy Analyst Evaluation'!$A$46:$F$120,2,0),""))&amp;""</f>
        <v/>
      </c>
      <c r="D165" s="209" t="str">
        <f>IFERROR(VLOOKUP($B165,'Institution Evaluation'!$A$55:$F$345,3,0),IFERROR(VLOOKUP($B165,'Privacy Analyst Evaluation'!$A$46:$F$120,3,0),""))&amp;""</f>
        <v/>
      </c>
      <c r="E165" s="209" t="str">
        <f>IFERROR(VLOOKUP($B165,'Institution Evaluation'!$A$55:$F$345,4,0),IFERROR(VLOOKUP($B165,'Privacy Analyst Evaluation'!$A$46:$F$120,4,0),""))&amp;""</f>
        <v/>
      </c>
      <c r="F165" s="209" t="str">
        <f>IFERROR(VLOOKUP($B165,'Institution Evaluation'!$A$55:$F$345,6,0),IFERROR(VLOOKUP($B165,'Privacy Analyst Evaluation'!$A$46:$F$120,6,0),""))&amp;""</f>
        <v/>
      </c>
      <c r="G165" s="210"/>
      <c r="H165" s="209" t="str">
        <f>IFERROR(IF($H164+1&gt;'(backend scoring)'!$Q$335,"",$H164+1),"")</f>
        <v/>
      </c>
      <c r="I165" s="209" t="str">
        <f>_xlfn.XLOOKUP($H165,'(backend scoring)'!$S$2:$S$333,'(backend scoring)'!$A$2:$A$333,"")</f>
        <v/>
      </c>
      <c r="J165" s="209" t="str">
        <f>IFERROR(VLOOKUP($I165,'Institution Evaluation'!$A$55:$F$345,2,0),IFERROR(VLOOKUP($I165,'Privacy Analyst Evaluation'!$A$46:$F$120,2,0),""))</f>
        <v/>
      </c>
      <c r="K165" s="209" t="str">
        <f>IFERROR(VLOOKUP($I165,'Institution Evaluation'!$A$55:$F$345,3,0),IFERROR(VLOOKUP($I165,'Privacy Analyst Evaluation'!$A$46:$F$120,3,0),""))&amp;""</f>
        <v/>
      </c>
      <c r="L165" s="209" t="str">
        <f>IFERROR(VLOOKUP($I165,'Institution Evaluation'!$A$55:$F$345,4,0),IFERROR(VLOOKUP($I165,'Privacy Analyst Evaluation'!$A$46:$F$120,4,0),""))&amp;""</f>
        <v/>
      </c>
      <c r="M165" s="209" t="str">
        <f>IFERROR(VLOOKUP($I165,'Institution Evaluation'!$A$55:$F$345,6,0),IFERROR(VLOOKUP($I165,'Privacy Analyst Evaluation'!$A$46:$F$120,6,0),""))&amp;""</f>
        <v/>
      </c>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row>
    <row r="166" spans="1:338" x14ac:dyDescent="0.3">
      <c r="A166" s="209" t="str">
        <f>IFERROR(IF($A165+1&gt;'(backend scoring)'!$T$335,"",$A165+1),"")</f>
        <v/>
      </c>
      <c r="B166" s="209" t="str">
        <f>_xlfn.XLOOKUP($A166,'(backend scoring)'!$V$2:$V$333,'(backend scoring)'!$A$2:$A$333,"")</f>
        <v/>
      </c>
      <c r="C166" s="209" t="str">
        <f>IFERROR(VLOOKUP($B166,'Institution Evaluation'!$A$55:$F$345,2,0),IFERROR(VLOOKUP($B166,'Privacy Analyst Evaluation'!$A$46:$F$120,2,0),""))&amp;""</f>
        <v/>
      </c>
      <c r="D166" s="209" t="str">
        <f>IFERROR(VLOOKUP($B166,'Institution Evaluation'!$A$55:$F$345,3,0),IFERROR(VLOOKUP($B166,'Privacy Analyst Evaluation'!$A$46:$F$120,3,0),""))&amp;""</f>
        <v/>
      </c>
      <c r="E166" s="209" t="str">
        <f>IFERROR(VLOOKUP($B166,'Institution Evaluation'!$A$55:$F$345,4,0),IFERROR(VLOOKUP($B166,'Privacy Analyst Evaluation'!$A$46:$F$120,4,0),""))&amp;""</f>
        <v/>
      </c>
      <c r="F166" s="209" t="str">
        <f>IFERROR(VLOOKUP($B166,'Institution Evaluation'!$A$55:$F$345,6,0),IFERROR(VLOOKUP($B166,'Privacy Analyst Evaluation'!$A$46:$F$120,6,0),""))&amp;""</f>
        <v/>
      </c>
      <c r="G166" s="210"/>
      <c r="H166" s="209" t="str">
        <f>IFERROR(IF($H165+1&gt;'(backend scoring)'!$Q$335,"",$H165+1),"")</f>
        <v/>
      </c>
      <c r="I166" s="209" t="str">
        <f>_xlfn.XLOOKUP($H166,'(backend scoring)'!$S$2:$S$333,'(backend scoring)'!$A$2:$A$333,"")</f>
        <v/>
      </c>
      <c r="J166" s="209" t="str">
        <f>IFERROR(VLOOKUP($I166,'Institution Evaluation'!$A$55:$F$345,2,0),IFERROR(VLOOKUP($I166,'Privacy Analyst Evaluation'!$A$46:$F$120,2,0),""))</f>
        <v/>
      </c>
      <c r="K166" s="209" t="str">
        <f>IFERROR(VLOOKUP($I166,'Institution Evaluation'!$A$55:$F$345,3,0),IFERROR(VLOOKUP($I166,'Privacy Analyst Evaluation'!$A$46:$F$120,3,0),""))&amp;""</f>
        <v/>
      </c>
      <c r="L166" s="209" t="str">
        <f>IFERROR(VLOOKUP($I166,'Institution Evaluation'!$A$55:$F$345,4,0),IFERROR(VLOOKUP($I166,'Privacy Analyst Evaluation'!$A$46:$F$120,4,0),""))&amp;""</f>
        <v/>
      </c>
      <c r="M166" s="209" t="str">
        <f>IFERROR(VLOOKUP($I166,'Institution Evaluation'!$A$55:$F$345,6,0),IFERROR(VLOOKUP($I166,'Privacy Analyst Evaluation'!$A$46:$F$120,6,0),""))&amp;""</f>
        <v/>
      </c>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row>
    <row r="167" spans="1:338" x14ac:dyDescent="0.3">
      <c r="A167" s="209" t="str">
        <f>IFERROR(IF($A166+1&gt;'(backend scoring)'!$T$335,"",$A166+1),"")</f>
        <v/>
      </c>
      <c r="B167" s="209" t="str">
        <f>_xlfn.XLOOKUP($A167,'(backend scoring)'!$V$2:$V$333,'(backend scoring)'!$A$2:$A$333,"")</f>
        <v/>
      </c>
      <c r="C167" s="209" t="str">
        <f>IFERROR(VLOOKUP($B167,'Institution Evaluation'!$A$55:$F$345,2,0),IFERROR(VLOOKUP($B167,'Privacy Analyst Evaluation'!$A$46:$F$120,2,0),""))&amp;""</f>
        <v/>
      </c>
      <c r="D167" s="209" t="str">
        <f>IFERROR(VLOOKUP($B167,'Institution Evaluation'!$A$55:$F$345,3,0),IFERROR(VLOOKUP($B167,'Privacy Analyst Evaluation'!$A$46:$F$120,3,0),""))&amp;""</f>
        <v/>
      </c>
      <c r="E167" s="209" t="str">
        <f>IFERROR(VLOOKUP($B167,'Institution Evaluation'!$A$55:$F$345,4,0),IFERROR(VLOOKUP($B167,'Privacy Analyst Evaluation'!$A$46:$F$120,4,0),""))&amp;""</f>
        <v/>
      </c>
      <c r="F167" s="209" t="str">
        <f>IFERROR(VLOOKUP($B167,'Institution Evaluation'!$A$55:$F$345,6,0),IFERROR(VLOOKUP($B167,'Privacy Analyst Evaluation'!$A$46:$F$120,6,0),""))&amp;""</f>
        <v/>
      </c>
      <c r="G167" s="210"/>
      <c r="H167" s="209" t="str">
        <f>IFERROR(IF($H166+1&gt;'(backend scoring)'!$Q$335,"",$H166+1),"")</f>
        <v/>
      </c>
      <c r="I167" s="209" t="str">
        <f>_xlfn.XLOOKUP($H167,'(backend scoring)'!$S$2:$S$333,'(backend scoring)'!$A$2:$A$333,"")</f>
        <v/>
      </c>
      <c r="J167" s="209" t="str">
        <f>IFERROR(VLOOKUP($I167,'Institution Evaluation'!$A$55:$F$345,2,0),IFERROR(VLOOKUP($I167,'Privacy Analyst Evaluation'!$A$46:$F$120,2,0),""))</f>
        <v/>
      </c>
      <c r="K167" s="209" t="str">
        <f>IFERROR(VLOOKUP($I167,'Institution Evaluation'!$A$55:$F$345,3,0),IFERROR(VLOOKUP($I167,'Privacy Analyst Evaluation'!$A$46:$F$120,3,0),""))&amp;""</f>
        <v/>
      </c>
      <c r="L167" s="209" t="str">
        <f>IFERROR(VLOOKUP($I167,'Institution Evaluation'!$A$55:$F$345,4,0),IFERROR(VLOOKUP($I167,'Privacy Analyst Evaluation'!$A$46:$F$120,4,0),""))&amp;""</f>
        <v/>
      </c>
      <c r="M167" s="209" t="str">
        <f>IFERROR(VLOOKUP($I167,'Institution Evaluation'!$A$55:$F$345,6,0),IFERROR(VLOOKUP($I167,'Privacy Analyst Evaluation'!$A$46:$F$120,6,0),""))&amp;""</f>
        <v/>
      </c>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row>
    <row r="168" spans="1:338" x14ac:dyDescent="0.3">
      <c r="A168" s="209" t="str">
        <f>IFERROR(IF($A167+1&gt;'(backend scoring)'!$T$335,"",$A167+1),"")</f>
        <v/>
      </c>
      <c r="B168" s="209" t="str">
        <f>_xlfn.XLOOKUP($A168,'(backend scoring)'!$V$2:$V$333,'(backend scoring)'!$A$2:$A$333,"")</f>
        <v/>
      </c>
      <c r="C168" s="209" t="str">
        <f>IFERROR(VLOOKUP($B168,'Institution Evaluation'!$A$55:$F$345,2,0),IFERROR(VLOOKUP($B168,'Privacy Analyst Evaluation'!$A$46:$F$120,2,0),""))&amp;""</f>
        <v/>
      </c>
      <c r="D168" s="209" t="str">
        <f>IFERROR(VLOOKUP($B168,'Institution Evaluation'!$A$55:$F$345,3,0),IFERROR(VLOOKUP($B168,'Privacy Analyst Evaluation'!$A$46:$F$120,3,0),""))&amp;""</f>
        <v/>
      </c>
      <c r="E168" s="209" t="str">
        <f>IFERROR(VLOOKUP($B168,'Institution Evaluation'!$A$55:$F$345,4,0),IFERROR(VLOOKUP($B168,'Privacy Analyst Evaluation'!$A$46:$F$120,4,0),""))&amp;""</f>
        <v/>
      </c>
      <c r="F168" s="209" t="str">
        <f>IFERROR(VLOOKUP($B168,'Institution Evaluation'!$A$55:$F$345,6,0),IFERROR(VLOOKUP($B168,'Privacy Analyst Evaluation'!$A$46:$F$120,6,0),""))&amp;""</f>
        <v/>
      </c>
      <c r="G168" s="210"/>
      <c r="H168" s="209" t="str">
        <f>IFERROR(IF($H167+1&gt;'(backend scoring)'!$Q$335,"",$H167+1),"")</f>
        <v/>
      </c>
      <c r="I168" s="209" t="str">
        <f>_xlfn.XLOOKUP($H168,'(backend scoring)'!$S$2:$S$333,'(backend scoring)'!$A$2:$A$333,"")</f>
        <v/>
      </c>
      <c r="J168" s="209" t="str">
        <f>IFERROR(VLOOKUP($I168,'Institution Evaluation'!$A$55:$F$345,2,0),IFERROR(VLOOKUP($I168,'Privacy Analyst Evaluation'!$A$46:$F$120,2,0),""))</f>
        <v/>
      </c>
      <c r="K168" s="209" t="str">
        <f>IFERROR(VLOOKUP($I168,'Institution Evaluation'!$A$55:$F$345,3,0),IFERROR(VLOOKUP($I168,'Privacy Analyst Evaluation'!$A$46:$F$120,3,0),""))&amp;""</f>
        <v/>
      </c>
      <c r="L168" s="209" t="str">
        <f>IFERROR(VLOOKUP($I168,'Institution Evaluation'!$A$55:$F$345,4,0),IFERROR(VLOOKUP($I168,'Privacy Analyst Evaluation'!$A$46:$F$120,4,0),""))&amp;""</f>
        <v/>
      </c>
      <c r="M168" s="209" t="str">
        <f>IFERROR(VLOOKUP($I168,'Institution Evaluation'!$A$55:$F$345,6,0),IFERROR(VLOOKUP($I168,'Privacy Analyst Evaluation'!$A$46:$F$120,6,0),""))&amp;""</f>
        <v/>
      </c>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row>
    <row r="169" spans="1:338" x14ac:dyDescent="0.3">
      <c r="A169" s="209" t="str">
        <f>IFERROR(IF($A168+1&gt;'(backend scoring)'!$T$335,"",$A168+1),"")</f>
        <v/>
      </c>
      <c r="B169" s="209" t="str">
        <f>_xlfn.XLOOKUP($A169,'(backend scoring)'!$V$2:$V$333,'(backend scoring)'!$A$2:$A$333,"")</f>
        <v/>
      </c>
      <c r="C169" s="209" t="str">
        <f>IFERROR(VLOOKUP($B169,'Institution Evaluation'!$A$55:$F$345,2,0),IFERROR(VLOOKUP($B169,'Privacy Analyst Evaluation'!$A$46:$F$120,2,0),""))&amp;""</f>
        <v/>
      </c>
      <c r="D169" s="209" t="str">
        <f>IFERROR(VLOOKUP($B169,'Institution Evaluation'!$A$55:$F$345,3,0),IFERROR(VLOOKUP($B169,'Privacy Analyst Evaluation'!$A$46:$F$120,3,0),""))&amp;""</f>
        <v/>
      </c>
      <c r="E169" s="209" t="str">
        <f>IFERROR(VLOOKUP($B169,'Institution Evaluation'!$A$55:$F$345,4,0),IFERROR(VLOOKUP($B169,'Privacy Analyst Evaluation'!$A$46:$F$120,4,0),""))&amp;""</f>
        <v/>
      </c>
      <c r="F169" s="209" t="str">
        <f>IFERROR(VLOOKUP($B169,'Institution Evaluation'!$A$55:$F$345,6,0),IFERROR(VLOOKUP($B169,'Privacy Analyst Evaluation'!$A$46:$F$120,6,0),""))&amp;""</f>
        <v/>
      </c>
      <c r="G169" s="210"/>
      <c r="H169" s="209" t="str">
        <f>IFERROR(IF($H168+1&gt;'(backend scoring)'!$Q$335,"",$H168+1),"")</f>
        <v/>
      </c>
      <c r="I169" s="209" t="str">
        <f>_xlfn.XLOOKUP($H169,'(backend scoring)'!$S$2:$S$333,'(backend scoring)'!$A$2:$A$333,"")</f>
        <v/>
      </c>
      <c r="J169" s="209" t="str">
        <f>IFERROR(VLOOKUP($I169,'Institution Evaluation'!$A$55:$F$345,2,0),IFERROR(VLOOKUP($I169,'Privacy Analyst Evaluation'!$A$46:$F$120,2,0),""))</f>
        <v/>
      </c>
      <c r="K169" s="209" t="str">
        <f>IFERROR(VLOOKUP($I169,'Institution Evaluation'!$A$55:$F$345,3,0),IFERROR(VLOOKUP($I169,'Privacy Analyst Evaluation'!$A$46:$F$120,3,0),""))&amp;""</f>
        <v/>
      </c>
      <c r="L169" s="209" t="str">
        <f>IFERROR(VLOOKUP($I169,'Institution Evaluation'!$A$55:$F$345,4,0),IFERROR(VLOOKUP($I169,'Privacy Analyst Evaluation'!$A$46:$F$120,4,0),""))&amp;""</f>
        <v/>
      </c>
      <c r="M169" s="209" t="str">
        <f>IFERROR(VLOOKUP($I169,'Institution Evaluation'!$A$55:$F$345,6,0),IFERROR(VLOOKUP($I169,'Privacy Analyst Evaluation'!$A$46:$F$120,6,0),""))&amp;""</f>
        <v/>
      </c>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row>
    <row r="170" spans="1:338" x14ac:dyDescent="0.3">
      <c r="A170" s="209" t="str">
        <f>IFERROR(IF($A169+1&gt;'(backend scoring)'!$T$335,"",$A169+1),"")</f>
        <v/>
      </c>
      <c r="B170" s="209" t="str">
        <f>_xlfn.XLOOKUP($A170,'(backend scoring)'!$V$2:$V$333,'(backend scoring)'!$A$2:$A$333,"")</f>
        <v/>
      </c>
      <c r="C170" s="209" t="str">
        <f>IFERROR(VLOOKUP($B170,'Institution Evaluation'!$A$55:$F$345,2,0),IFERROR(VLOOKUP($B170,'Privacy Analyst Evaluation'!$A$46:$F$120,2,0),""))&amp;""</f>
        <v/>
      </c>
      <c r="D170" s="209" t="str">
        <f>IFERROR(VLOOKUP($B170,'Institution Evaluation'!$A$55:$F$345,3,0),IFERROR(VLOOKUP($B170,'Privacy Analyst Evaluation'!$A$46:$F$120,3,0),""))&amp;""</f>
        <v/>
      </c>
      <c r="E170" s="209" t="str">
        <f>IFERROR(VLOOKUP($B170,'Institution Evaluation'!$A$55:$F$345,4,0),IFERROR(VLOOKUP($B170,'Privacy Analyst Evaluation'!$A$46:$F$120,4,0),""))&amp;""</f>
        <v/>
      </c>
      <c r="F170" s="209" t="str">
        <f>IFERROR(VLOOKUP($B170,'Institution Evaluation'!$A$55:$F$345,6,0),IFERROR(VLOOKUP($B170,'Privacy Analyst Evaluation'!$A$46:$F$120,6,0),""))&amp;""</f>
        <v/>
      </c>
      <c r="G170" s="210"/>
      <c r="H170" s="209" t="str">
        <f>IFERROR(IF($H169+1&gt;'(backend scoring)'!$Q$335,"",$H169+1),"")</f>
        <v/>
      </c>
      <c r="I170" s="209" t="str">
        <f>_xlfn.XLOOKUP($H170,'(backend scoring)'!$S$2:$S$333,'(backend scoring)'!$A$2:$A$333,"")</f>
        <v/>
      </c>
      <c r="J170" s="209" t="str">
        <f>IFERROR(VLOOKUP($I170,'Institution Evaluation'!$A$55:$F$345,2,0),IFERROR(VLOOKUP($I170,'Privacy Analyst Evaluation'!$A$46:$F$120,2,0),""))</f>
        <v/>
      </c>
      <c r="K170" s="209" t="str">
        <f>IFERROR(VLOOKUP($I170,'Institution Evaluation'!$A$55:$F$345,3,0),IFERROR(VLOOKUP($I170,'Privacy Analyst Evaluation'!$A$46:$F$120,3,0),""))&amp;""</f>
        <v/>
      </c>
      <c r="L170" s="209" t="str">
        <f>IFERROR(VLOOKUP($I170,'Institution Evaluation'!$A$55:$F$345,4,0),IFERROR(VLOOKUP($I170,'Privacy Analyst Evaluation'!$A$46:$F$120,4,0),""))&amp;""</f>
        <v/>
      </c>
      <c r="M170" s="209" t="str">
        <f>IFERROR(VLOOKUP($I170,'Institution Evaluation'!$A$55:$F$345,6,0),IFERROR(VLOOKUP($I170,'Privacy Analyst Evaluation'!$A$46:$F$120,6,0),""))&amp;""</f>
        <v/>
      </c>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row>
    <row r="171" spans="1:338" x14ac:dyDescent="0.3">
      <c r="A171" s="209" t="str">
        <f>IFERROR(IF($A170+1&gt;'(backend scoring)'!$T$335,"",$A170+1),"")</f>
        <v/>
      </c>
      <c r="B171" s="209" t="str">
        <f>_xlfn.XLOOKUP($A171,'(backend scoring)'!$V$2:$V$333,'(backend scoring)'!$A$2:$A$333,"")</f>
        <v/>
      </c>
      <c r="C171" s="209" t="str">
        <f>IFERROR(VLOOKUP($B171,'Institution Evaluation'!$A$55:$F$345,2,0),IFERROR(VLOOKUP($B171,'Privacy Analyst Evaluation'!$A$46:$F$120,2,0),""))&amp;""</f>
        <v/>
      </c>
      <c r="D171" s="209" t="str">
        <f>IFERROR(VLOOKUP($B171,'Institution Evaluation'!$A$55:$F$345,3,0),IFERROR(VLOOKUP($B171,'Privacy Analyst Evaluation'!$A$46:$F$120,3,0),""))&amp;""</f>
        <v/>
      </c>
      <c r="E171" s="209" t="str">
        <f>IFERROR(VLOOKUP($B171,'Institution Evaluation'!$A$55:$F$345,4,0),IFERROR(VLOOKUP($B171,'Privacy Analyst Evaluation'!$A$46:$F$120,4,0),""))&amp;""</f>
        <v/>
      </c>
      <c r="F171" s="209" t="str">
        <f>IFERROR(VLOOKUP($B171,'Institution Evaluation'!$A$55:$F$345,6,0),IFERROR(VLOOKUP($B171,'Privacy Analyst Evaluation'!$A$46:$F$120,6,0),""))&amp;""</f>
        <v/>
      </c>
      <c r="G171" s="210"/>
      <c r="H171" s="209" t="str">
        <f>IFERROR(IF($H170+1&gt;'(backend scoring)'!$Q$335,"",$H170+1),"")</f>
        <v/>
      </c>
      <c r="I171" s="209" t="str">
        <f>_xlfn.XLOOKUP($H171,'(backend scoring)'!$S$2:$S$333,'(backend scoring)'!$A$2:$A$333,"")</f>
        <v/>
      </c>
      <c r="J171" s="209" t="str">
        <f>IFERROR(VLOOKUP($I171,'Institution Evaluation'!$A$55:$F$345,2,0),IFERROR(VLOOKUP($I171,'Privacy Analyst Evaluation'!$A$46:$F$120,2,0),""))</f>
        <v/>
      </c>
      <c r="K171" s="209" t="str">
        <f>IFERROR(VLOOKUP($I171,'Institution Evaluation'!$A$55:$F$345,3,0),IFERROR(VLOOKUP($I171,'Privacy Analyst Evaluation'!$A$46:$F$120,3,0),""))&amp;""</f>
        <v/>
      </c>
      <c r="L171" s="209" t="str">
        <f>IFERROR(VLOOKUP($I171,'Institution Evaluation'!$A$55:$F$345,4,0),IFERROR(VLOOKUP($I171,'Privacy Analyst Evaluation'!$A$46:$F$120,4,0),""))&amp;""</f>
        <v/>
      </c>
      <c r="M171" s="209" t="str">
        <f>IFERROR(VLOOKUP($I171,'Institution Evaluation'!$A$55:$F$345,6,0),IFERROR(VLOOKUP($I171,'Privacy Analyst Evaluation'!$A$46:$F$120,6,0),""))&amp;""</f>
        <v/>
      </c>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row>
    <row r="172" spans="1:338" x14ac:dyDescent="0.3">
      <c r="A172" s="209" t="str">
        <f>IFERROR(IF($A171+1&gt;'(backend scoring)'!$T$335,"",$A171+1),"")</f>
        <v/>
      </c>
      <c r="B172" s="209" t="str">
        <f>_xlfn.XLOOKUP($A172,'(backend scoring)'!$V$2:$V$333,'(backend scoring)'!$A$2:$A$333,"")</f>
        <v/>
      </c>
      <c r="C172" s="209" t="str">
        <f>IFERROR(VLOOKUP($B172,'Institution Evaluation'!$A$55:$F$345,2,0),IFERROR(VLOOKUP($B172,'Privacy Analyst Evaluation'!$A$46:$F$120,2,0),""))&amp;""</f>
        <v/>
      </c>
      <c r="D172" s="209" t="str">
        <f>IFERROR(VLOOKUP($B172,'Institution Evaluation'!$A$55:$F$345,3,0),IFERROR(VLOOKUP($B172,'Privacy Analyst Evaluation'!$A$46:$F$120,3,0),""))&amp;""</f>
        <v/>
      </c>
      <c r="E172" s="209" t="str">
        <f>IFERROR(VLOOKUP($B172,'Institution Evaluation'!$A$55:$F$345,4,0),IFERROR(VLOOKUP($B172,'Privacy Analyst Evaluation'!$A$46:$F$120,4,0),""))&amp;""</f>
        <v/>
      </c>
      <c r="F172" s="209" t="str">
        <f>IFERROR(VLOOKUP($B172,'Institution Evaluation'!$A$55:$F$345,6,0),IFERROR(VLOOKUP($B172,'Privacy Analyst Evaluation'!$A$46:$F$120,6,0),""))&amp;""</f>
        <v/>
      </c>
      <c r="G172" s="210"/>
      <c r="H172" s="209" t="str">
        <f>IFERROR(IF($H171+1&gt;'(backend scoring)'!$Q$335,"",$H171+1),"")</f>
        <v/>
      </c>
      <c r="I172" s="209" t="str">
        <f>_xlfn.XLOOKUP($H172,'(backend scoring)'!$S$2:$S$333,'(backend scoring)'!$A$2:$A$333,"")</f>
        <v/>
      </c>
      <c r="J172" s="209" t="str">
        <f>IFERROR(VLOOKUP($I172,'Institution Evaluation'!$A$55:$F$345,2,0),IFERROR(VLOOKUP($I172,'Privacy Analyst Evaluation'!$A$46:$F$120,2,0),""))</f>
        <v/>
      </c>
      <c r="K172" s="209" t="str">
        <f>IFERROR(VLOOKUP($I172,'Institution Evaluation'!$A$55:$F$345,3,0),IFERROR(VLOOKUP($I172,'Privacy Analyst Evaluation'!$A$46:$F$120,3,0),""))&amp;""</f>
        <v/>
      </c>
      <c r="L172" s="209" t="str">
        <f>IFERROR(VLOOKUP($I172,'Institution Evaluation'!$A$55:$F$345,4,0),IFERROR(VLOOKUP($I172,'Privacy Analyst Evaluation'!$A$46:$F$120,4,0),""))&amp;""</f>
        <v/>
      </c>
      <c r="M172" s="209" t="str">
        <f>IFERROR(VLOOKUP($I172,'Institution Evaluation'!$A$55:$F$345,6,0),IFERROR(VLOOKUP($I172,'Privacy Analyst Evaluation'!$A$46:$F$120,6,0),""))&amp;""</f>
        <v/>
      </c>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row>
    <row r="173" spans="1:338" x14ac:dyDescent="0.3">
      <c r="A173" s="209" t="str">
        <f>IFERROR(IF($A172+1&gt;'(backend scoring)'!$T$335,"",$A172+1),"")</f>
        <v/>
      </c>
      <c r="B173" s="209" t="str">
        <f>_xlfn.XLOOKUP($A173,'(backend scoring)'!$V$2:$V$333,'(backend scoring)'!$A$2:$A$333,"")</f>
        <v/>
      </c>
      <c r="C173" s="209" t="str">
        <f>IFERROR(VLOOKUP($B173,'Institution Evaluation'!$A$55:$F$345,2,0),IFERROR(VLOOKUP($B173,'Privacy Analyst Evaluation'!$A$46:$F$120,2,0),""))&amp;""</f>
        <v/>
      </c>
      <c r="D173" s="209" t="str">
        <f>IFERROR(VLOOKUP($B173,'Institution Evaluation'!$A$55:$F$345,3,0),IFERROR(VLOOKUP($B173,'Privacy Analyst Evaluation'!$A$46:$F$120,3,0),""))&amp;""</f>
        <v/>
      </c>
      <c r="E173" s="209" t="str">
        <f>IFERROR(VLOOKUP($B173,'Institution Evaluation'!$A$55:$F$345,4,0),IFERROR(VLOOKUP($B173,'Privacy Analyst Evaluation'!$A$46:$F$120,4,0),""))&amp;""</f>
        <v/>
      </c>
      <c r="F173" s="209" t="str">
        <f>IFERROR(VLOOKUP($B173,'Institution Evaluation'!$A$55:$F$345,6,0),IFERROR(VLOOKUP($B173,'Privacy Analyst Evaluation'!$A$46:$F$120,6,0),""))&amp;""</f>
        <v/>
      </c>
      <c r="G173" s="210"/>
      <c r="H173" s="209" t="str">
        <f>IFERROR(IF($H172+1&gt;'(backend scoring)'!$Q$335,"",$H172+1),"")</f>
        <v/>
      </c>
      <c r="I173" s="209" t="str">
        <f>_xlfn.XLOOKUP($H173,'(backend scoring)'!$S$2:$S$333,'(backend scoring)'!$A$2:$A$333,"")</f>
        <v/>
      </c>
      <c r="J173" s="209" t="str">
        <f>IFERROR(VLOOKUP($I173,'Institution Evaluation'!$A$55:$F$345,2,0),IFERROR(VLOOKUP($I173,'Privacy Analyst Evaluation'!$A$46:$F$120,2,0),""))</f>
        <v/>
      </c>
      <c r="K173" s="209" t="str">
        <f>IFERROR(VLOOKUP($I173,'Institution Evaluation'!$A$55:$F$345,3,0),IFERROR(VLOOKUP($I173,'Privacy Analyst Evaluation'!$A$46:$F$120,3,0),""))&amp;""</f>
        <v/>
      </c>
      <c r="L173" s="209" t="str">
        <f>IFERROR(VLOOKUP($I173,'Institution Evaluation'!$A$55:$F$345,4,0),IFERROR(VLOOKUP($I173,'Privacy Analyst Evaluation'!$A$46:$F$120,4,0),""))&amp;""</f>
        <v/>
      </c>
      <c r="M173" s="209" t="str">
        <f>IFERROR(VLOOKUP($I173,'Institution Evaluation'!$A$55:$F$345,6,0),IFERROR(VLOOKUP($I173,'Privacy Analyst Evaluation'!$A$46:$F$120,6,0),""))&amp;""</f>
        <v/>
      </c>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row>
    <row r="174" spans="1:338" x14ac:dyDescent="0.3">
      <c r="A174" s="209" t="str">
        <f>IFERROR(IF($A173+1&gt;'(backend scoring)'!$T$335,"",$A173+1),"")</f>
        <v/>
      </c>
      <c r="B174" s="209" t="str">
        <f>_xlfn.XLOOKUP($A174,'(backend scoring)'!$V$2:$V$333,'(backend scoring)'!$A$2:$A$333,"")</f>
        <v/>
      </c>
      <c r="C174" s="209" t="str">
        <f>IFERROR(VLOOKUP($B174,'Institution Evaluation'!$A$55:$F$345,2,0),IFERROR(VLOOKUP($B174,'Privacy Analyst Evaluation'!$A$46:$F$120,2,0),""))&amp;""</f>
        <v/>
      </c>
      <c r="D174" s="209" t="str">
        <f>IFERROR(VLOOKUP($B174,'Institution Evaluation'!$A$55:$F$345,3,0),IFERROR(VLOOKUP($B174,'Privacy Analyst Evaluation'!$A$46:$F$120,3,0),""))&amp;""</f>
        <v/>
      </c>
      <c r="E174" s="209" t="str">
        <f>IFERROR(VLOOKUP($B174,'Institution Evaluation'!$A$55:$F$345,4,0),IFERROR(VLOOKUP($B174,'Privacy Analyst Evaluation'!$A$46:$F$120,4,0),""))&amp;""</f>
        <v/>
      </c>
      <c r="F174" s="209" t="str">
        <f>IFERROR(VLOOKUP($B174,'Institution Evaluation'!$A$55:$F$345,6,0),IFERROR(VLOOKUP($B174,'Privacy Analyst Evaluation'!$A$46:$F$120,6,0),""))&amp;""</f>
        <v/>
      </c>
      <c r="G174" s="210"/>
      <c r="H174" s="209" t="str">
        <f>IFERROR(IF($H173+1&gt;'(backend scoring)'!$Q$335,"",$H173+1),"")</f>
        <v/>
      </c>
      <c r="I174" s="209" t="str">
        <f>_xlfn.XLOOKUP($H174,'(backend scoring)'!$S$2:$S$333,'(backend scoring)'!$A$2:$A$333,"")</f>
        <v/>
      </c>
      <c r="J174" s="209" t="str">
        <f>IFERROR(VLOOKUP($I174,'Institution Evaluation'!$A$55:$F$345,2,0),IFERROR(VLOOKUP($I174,'Privacy Analyst Evaluation'!$A$46:$F$120,2,0),""))</f>
        <v/>
      </c>
      <c r="K174" s="209" t="str">
        <f>IFERROR(VLOOKUP($I174,'Institution Evaluation'!$A$55:$F$345,3,0),IFERROR(VLOOKUP($I174,'Privacy Analyst Evaluation'!$A$46:$F$120,3,0),""))&amp;""</f>
        <v/>
      </c>
      <c r="L174" s="209" t="str">
        <f>IFERROR(VLOOKUP($I174,'Institution Evaluation'!$A$55:$F$345,4,0),IFERROR(VLOOKUP($I174,'Privacy Analyst Evaluation'!$A$46:$F$120,4,0),""))&amp;""</f>
        <v/>
      </c>
      <c r="M174" s="209" t="str">
        <f>IFERROR(VLOOKUP($I174,'Institution Evaluation'!$A$55:$F$345,6,0),IFERROR(VLOOKUP($I174,'Privacy Analyst Evaluation'!$A$46:$F$120,6,0),""))&amp;""</f>
        <v/>
      </c>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row>
    <row r="175" spans="1:338" x14ac:dyDescent="0.3">
      <c r="A175" s="209" t="str">
        <f>IFERROR(IF($A174+1&gt;'(backend scoring)'!$T$335,"",$A174+1),"")</f>
        <v/>
      </c>
      <c r="B175" s="209" t="str">
        <f>_xlfn.XLOOKUP($A175,'(backend scoring)'!$V$2:$V$333,'(backend scoring)'!$A$2:$A$333,"")</f>
        <v/>
      </c>
      <c r="C175" s="209" t="str">
        <f>IFERROR(VLOOKUP($B175,'Institution Evaluation'!$A$55:$F$345,2,0),IFERROR(VLOOKUP($B175,'Privacy Analyst Evaluation'!$A$46:$F$120,2,0),""))&amp;""</f>
        <v/>
      </c>
      <c r="D175" s="209" t="str">
        <f>IFERROR(VLOOKUP($B175,'Institution Evaluation'!$A$55:$F$345,3,0),IFERROR(VLOOKUP($B175,'Privacy Analyst Evaluation'!$A$46:$F$120,3,0),""))&amp;""</f>
        <v/>
      </c>
      <c r="E175" s="209" t="str">
        <f>IFERROR(VLOOKUP($B175,'Institution Evaluation'!$A$55:$F$345,4,0),IFERROR(VLOOKUP($B175,'Privacy Analyst Evaluation'!$A$46:$F$120,4,0),""))&amp;""</f>
        <v/>
      </c>
      <c r="F175" s="209" t="str">
        <f>IFERROR(VLOOKUP($B175,'Institution Evaluation'!$A$55:$F$345,6,0),IFERROR(VLOOKUP($B175,'Privacy Analyst Evaluation'!$A$46:$F$120,6,0),""))&amp;""</f>
        <v/>
      </c>
      <c r="G175" s="210"/>
      <c r="H175" s="209" t="str">
        <f>IFERROR(IF($H174+1&gt;'(backend scoring)'!$Q$335,"",$H174+1),"")</f>
        <v/>
      </c>
      <c r="I175" s="209" t="str">
        <f>_xlfn.XLOOKUP($H175,'(backend scoring)'!$S$2:$S$333,'(backend scoring)'!$A$2:$A$333,"")</f>
        <v/>
      </c>
      <c r="J175" s="209" t="str">
        <f>IFERROR(VLOOKUP($I175,'Institution Evaluation'!$A$55:$F$345,2,0),IFERROR(VLOOKUP($I175,'Privacy Analyst Evaluation'!$A$46:$F$120,2,0),""))</f>
        <v/>
      </c>
      <c r="K175" s="209" t="str">
        <f>IFERROR(VLOOKUP($I175,'Institution Evaluation'!$A$55:$F$345,3,0),IFERROR(VLOOKUP($I175,'Privacy Analyst Evaluation'!$A$46:$F$120,3,0),""))&amp;""</f>
        <v/>
      </c>
      <c r="L175" s="209" t="str">
        <f>IFERROR(VLOOKUP($I175,'Institution Evaluation'!$A$55:$F$345,4,0),IFERROR(VLOOKUP($I175,'Privacy Analyst Evaluation'!$A$46:$F$120,4,0),""))&amp;""</f>
        <v/>
      </c>
      <c r="M175" s="209" t="str">
        <f>IFERROR(VLOOKUP($I175,'Institution Evaluation'!$A$55:$F$345,6,0),IFERROR(VLOOKUP($I175,'Privacy Analyst Evaluation'!$A$46:$F$120,6,0),""))&amp;""</f>
        <v/>
      </c>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row>
    <row r="176" spans="1:338" x14ac:dyDescent="0.3">
      <c r="A176" s="209" t="str">
        <f>IFERROR(IF($A175+1&gt;'(backend scoring)'!$T$335,"",$A175+1),"")</f>
        <v/>
      </c>
      <c r="B176" s="209" t="str">
        <f>_xlfn.XLOOKUP($A176,'(backend scoring)'!$V$2:$V$333,'(backend scoring)'!$A$2:$A$333,"")</f>
        <v/>
      </c>
      <c r="C176" s="209" t="str">
        <f>IFERROR(VLOOKUP($B176,'Institution Evaluation'!$A$55:$F$345,2,0),IFERROR(VLOOKUP($B176,'Privacy Analyst Evaluation'!$A$46:$F$120,2,0),""))&amp;""</f>
        <v/>
      </c>
      <c r="D176" s="209" t="str">
        <f>IFERROR(VLOOKUP($B176,'Institution Evaluation'!$A$55:$F$345,3,0),IFERROR(VLOOKUP($B176,'Privacy Analyst Evaluation'!$A$46:$F$120,3,0),""))&amp;""</f>
        <v/>
      </c>
      <c r="E176" s="209" t="str">
        <f>IFERROR(VLOOKUP($B176,'Institution Evaluation'!$A$55:$F$345,4,0),IFERROR(VLOOKUP($B176,'Privacy Analyst Evaluation'!$A$46:$F$120,4,0),""))&amp;""</f>
        <v/>
      </c>
      <c r="F176" s="209" t="str">
        <f>IFERROR(VLOOKUP($B176,'Institution Evaluation'!$A$55:$F$345,6,0),IFERROR(VLOOKUP($B176,'Privacy Analyst Evaluation'!$A$46:$F$120,6,0),""))&amp;""</f>
        <v/>
      </c>
      <c r="G176" s="210"/>
      <c r="H176" s="209" t="str">
        <f>IFERROR(IF($H175+1&gt;'(backend scoring)'!$Q$335,"",$H175+1),"")</f>
        <v/>
      </c>
      <c r="I176" s="209" t="str">
        <f>_xlfn.XLOOKUP($H176,'(backend scoring)'!$S$2:$S$333,'(backend scoring)'!$A$2:$A$333,"")</f>
        <v/>
      </c>
      <c r="J176" s="209" t="str">
        <f>IFERROR(VLOOKUP($I176,'Institution Evaluation'!$A$55:$F$345,2,0),IFERROR(VLOOKUP($I176,'Privacy Analyst Evaluation'!$A$46:$F$120,2,0),""))</f>
        <v/>
      </c>
      <c r="K176" s="209" t="str">
        <f>IFERROR(VLOOKUP($I176,'Institution Evaluation'!$A$55:$F$345,3,0),IFERROR(VLOOKUP($I176,'Privacy Analyst Evaluation'!$A$46:$F$120,3,0),""))&amp;""</f>
        <v/>
      </c>
      <c r="L176" s="209" t="str">
        <f>IFERROR(VLOOKUP($I176,'Institution Evaluation'!$A$55:$F$345,4,0),IFERROR(VLOOKUP($I176,'Privacy Analyst Evaluation'!$A$46:$F$120,4,0),""))&amp;""</f>
        <v/>
      </c>
      <c r="M176" s="209" t="str">
        <f>IFERROR(VLOOKUP($I176,'Institution Evaluation'!$A$55:$F$345,6,0),IFERROR(VLOOKUP($I176,'Privacy Analyst Evaluation'!$A$46:$F$120,6,0),""))&amp;""</f>
        <v/>
      </c>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row>
    <row r="177" spans="1:338" x14ac:dyDescent="0.3">
      <c r="A177" s="209" t="str">
        <f>IFERROR(IF($A176+1&gt;'(backend scoring)'!$T$335,"",$A176+1),"")</f>
        <v/>
      </c>
      <c r="B177" s="209" t="str">
        <f>_xlfn.XLOOKUP($A177,'(backend scoring)'!$V$2:$V$333,'(backend scoring)'!$A$2:$A$333,"")</f>
        <v/>
      </c>
      <c r="C177" s="209" t="str">
        <f>IFERROR(VLOOKUP($B177,'Institution Evaluation'!$A$55:$F$345,2,0),IFERROR(VLOOKUP($B177,'Privacy Analyst Evaluation'!$A$46:$F$120,2,0),""))&amp;""</f>
        <v/>
      </c>
      <c r="D177" s="209" t="str">
        <f>IFERROR(VLOOKUP($B177,'Institution Evaluation'!$A$55:$F$345,3,0),IFERROR(VLOOKUP($B177,'Privacy Analyst Evaluation'!$A$46:$F$120,3,0),""))&amp;""</f>
        <v/>
      </c>
      <c r="E177" s="209" t="str">
        <f>IFERROR(VLOOKUP($B177,'Institution Evaluation'!$A$55:$F$345,4,0),IFERROR(VLOOKUP($B177,'Privacy Analyst Evaluation'!$A$46:$F$120,4,0),""))&amp;""</f>
        <v/>
      </c>
      <c r="F177" s="209" t="str">
        <f>IFERROR(VLOOKUP($B177,'Institution Evaluation'!$A$55:$F$345,6,0),IFERROR(VLOOKUP($B177,'Privacy Analyst Evaluation'!$A$46:$F$120,6,0),""))&amp;""</f>
        <v/>
      </c>
      <c r="G177" s="210"/>
      <c r="H177" s="209" t="str">
        <f>IFERROR(IF($H176+1&gt;'(backend scoring)'!$Q$335,"",$H176+1),"")</f>
        <v/>
      </c>
      <c r="I177" s="209" t="str">
        <f>_xlfn.XLOOKUP($H177,'(backend scoring)'!$S$2:$S$333,'(backend scoring)'!$A$2:$A$333,"")</f>
        <v/>
      </c>
      <c r="J177" s="209" t="str">
        <f>IFERROR(VLOOKUP($I177,'Institution Evaluation'!$A$55:$F$345,2,0),IFERROR(VLOOKUP($I177,'Privacy Analyst Evaluation'!$A$46:$F$120,2,0),""))</f>
        <v/>
      </c>
      <c r="K177" s="209" t="str">
        <f>IFERROR(VLOOKUP($I177,'Institution Evaluation'!$A$55:$F$345,3,0),IFERROR(VLOOKUP($I177,'Privacy Analyst Evaluation'!$A$46:$F$120,3,0),""))&amp;""</f>
        <v/>
      </c>
      <c r="L177" s="209" t="str">
        <f>IFERROR(VLOOKUP($I177,'Institution Evaluation'!$A$55:$F$345,4,0),IFERROR(VLOOKUP($I177,'Privacy Analyst Evaluation'!$A$46:$F$120,4,0),""))&amp;""</f>
        <v/>
      </c>
      <c r="M177" s="209" t="str">
        <f>IFERROR(VLOOKUP($I177,'Institution Evaluation'!$A$55:$F$345,6,0),IFERROR(VLOOKUP($I177,'Privacy Analyst Evaluation'!$A$46:$F$120,6,0),""))&amp;""</f>
        <v/>
      </c>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row>
    <row r="178" spans="1:338" x14ac:dyDescent="0.3">
      <c r="A178" s="209" t="str">
        <f>IFERROR(IF($A177+1&gt;'(backend scoring)'!$T$335,"",$A177+1),"")</f>
        <v/>
      </c>
      <c r="B178" s="209" t="str">
        <f>_xlfn.XLOOKUP($A178,'(backend scoring)'!$V$2:$V$333,'(backend scoring)'!$A$2:$A$333,"")</f>
        <v/>
      </c>
      <c r="C178" s="209" t="str">
        <f>IFERROR(VLOOKUP($B178,'Institution Evaluation'!$A$55:$F$345,2,0),IFERROR(VLOOKUP($B178,'Privacy Analyst Evaluation'!$A$46:$F$120,2,0),""))&amp;""</f>
        <v/>
      </c>
      <c r="D178" s="209" t="str">
        <f>IFERROR(VLOOKUP($B178,'Institution Evaluation'!$A$55:$F$345,3,0),IFERROR(VLOOKUP($B178,'Privacy Analyst Evaluation'!$A$46:$F$120,3,0),""))&amp;""</f>
        <v/>
      </c>
      <c r="E178" s="209" t="str">
        <f>IFERROR(VLOOKUP($B178,'Institution Evaluation'!$A$55:$F$345,4,0),IFERROR(VLOOKUP($B178,'Privacy Analyst Evaluation'!$A$46:$F$120,4,0),""))&amp;""</f>
        <v/>
      </c>
      <c r="F178" s="209" t="str">
        <f>IFERROR(VLOOKUP($B178,'Institution Evaluation'!$A$55:$F$345,6,0),IFERROR(VLOOKUP($B178,'Privacy Analyst Evaluation'!$A$46:$F$120,6,0),""))&amp;""</f>
        <v/>
      </c>
      <c r="G178" s="210"/>
      <c r="H178" s="209" t="str">
        <f>IFERROR(IF($H177+1&gt;'(backend scoring)'!$Q$335,"",$H177+1),"")</f>
        <v/>
      </c>
      <c r="I178" s="209" t="str">
        <f>_xlfn.XLOOKUP($H178,'(backend scoring)'!$S$2:$S$333,'(backend scoring)'!$A$2:$A$333,"")</f>
        <v/>
      </c>
      <c r="J178" s="209" t="str">
        <f>IFERROR(VLOOKUP($I178,'Institution Evaluation'!$A$55:$F$345,2,0),IFERROR(VLOOKUP($I178,'Privacy Analyst Evaluation'!$A$46:$F$120,2,0),""))</f>
        <v/>
      </c>
      <c r="K178" s="209" t="str">
        <f>IFERROR(VLOOKUP($I178,'Institution Evaluation'!$A$55:$F$345,3,0),IFERROR(VLOOKUP($I178,'Privacy Analyst Evaluation'!$A$46:$F$120,3,0),""))&amp;""</f>
        <v/>
      </c>
      <c r="L178" s="209" t="str">
        <f>IFERROR(VLOOKUP($I178,'Institution Evaluation'!$A$55:$F$345,4,0),IFERROR(VLOOKUP($I178,'Privacy Analyst Evaluation'!$A$46:$F$120,4,0),""))&amp;""</f>
        <v/>
      </c>
      <c r="M178" s="209" t="str">
        <f>IFERROR(VLOOKUP($I178,'Institution Evaluation'!$A$55:$F$345,6,0),IFERROR(VLOOKUP($I178,'Privacy Analyst Evaluation'!$A$46:$F$120,6,0),""))&amp;""</f>
        <v/>
      </c>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row>
    <row r="179" spans="1:338" x14ac:dyDescent="0.3">
      <c r="A179" s="209" t="str">
        <f>IFERROR(IF($A178+1&gt;'(backend scoring)'!$T$335,"",$A178+1),"")</f>
        <v/>
      </c>
      <c r="B179" s="209" t="str">
        <f>_xlfn.XLOOKUP($A179,'(backend scoring)'!$V$2:$V$333,'(backend scoring)'!$A$2:$A$333,"")</f>
        <v/>
      </c>
      <c r="C179" s="209" t="str">
        <f>IFERROR(VLOOKUP($B179,'Institution Evaluation'!$A$55:$F$345,2,0),IFERROR(VLOOKUP($B179,'Privacy Analyst Evaluation'!$A$46:$F$120,2,0),""))&amp;""</f>
        <v/>
      </c>
      <c r="D179" s="209" t="str">
        <f>IFERROR(VLOOKUP($B179,'Institution Evaluation'!$A$55:$F$345,3,0),IFERROR(VLOOKUP($B179,'Privacy Analyst Evaluation'!$A$46:$F$120,3,0),""))&amp;""</f>
        <v/>
      </c>
      <c r="E179" s="209" t="str">
        <f>IFERROR(VLOOKUP($B179,'Institution Evaluation'!$A$55:$F$345,4,0),IFERROR(VLOOKUP($B179,'Privacy Analyst Evaluation'!$A$46:$F$120,4,0),""))&amp;""</f>
        <v/>
      </c>
      <c r="F179" s="209" t="str">
        <f>IFERROR(VLOOKUP($B179,'Institution Evaluation'!$A$55:$F$345,6,0),IFERROR(VLOOKUP($B179,'Privacy Analyst Evaluation'!$A$46:$F$120,6,0),""))&amp;""</f>
        <v/>
      </c>
      <c r="G179" s="210"/>
      <c r="H179" s="209" t="str">
        <f>IFERROR(IF($H178+1&gt;'(backend scoring)'!$Q$335,"",$H178+1),"")</f>
        <v/>
      </c>
      <c r="I179" s="209" t="str">
        <f>_xlfn.XLOOKUP($H179,'(backend scoring)'!$S$2:$S$333,'(backend scoring)'!$A$2:$A$333,"")</f>
        <v/>
      </c>
      <c r="J179" s="209" t="str">
        <f>IFERROR(VLOOKUP($I179,'Institution Evaluation'!$A$55:$F$345,2,0),IFERROR(VLOOKUP($I179,'Privacy Analyst Evaluation'!$A$46:$F$120,2,0),""))</f>
        <v/>
      </c>
      <c r="K179" s="209" t="str">
        <f>IFERROR(VLOOKUP($I179,'Institution Evaluation'!$A$55:$F$345,3,0),IFERROR(VLOOKUP($I179,'Privacy Analyst Evaluation'!$A$46:$F$120,3,0),""))&amp;""</f>
        <v/>
      </c>
      <c r="L179" s="209" t="str">
        <f>IFERROR(VLOOKUP($I179,'Institution Evaluation'!$A$55:$F$345,4,0),IFERROR(VLOOKUP($I179,'Privacy Analyst Evaluation'!$A$46:$F$120,4,0),""))&amp;""</f>
        <v/>
      </c>
      <c r="M179" s="209" t="str">
        <f>IFERROR(VLOOKUP($I179,'Institution Evaluation'!$A$55:$F$345,6,0),IFERROR(VLOOKUP($I179,'Privacy Analyst Evaluation'!$A$46:$F$120,6,0),""))&amp;""</f>
        <v/>
      </c>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row>
    <row r="180" spans="1:338" x14ac:dyDescent="0.3">
      <c r="A180" s="209" t="str">
        <f>IFERROR(IF($A179+1&gt;'(backend scoring)'!$T$335,"",$A179+1),"")</f>
        <v/>
      </c>
      <c r="B180" s="209" t="str">
        <f>_xlfn.XLOOKUP($A180,'(backend scoring)'!$V$2:$V$333,'(backend scoring)'!$A$2:$A$333,"")</f>
        <v/>
      </c>
      <c r="C180" s="209" t="str">
        <f>IFERROR(VLOOKUP($B180,'Institution Evaluation'!$A$55:$F$345,2,0),IFERROR(VLOOKUP($B180,'Privacy Analyst Evaluation'!$A$46:$F$120,2,0),""))&amp;""</f>
        <v/>
      </c>
      <c r="D180" s="209" t="str">
        <f>IFERROR(VLOOKUP($B180,'Institution Evaluation'!$A$55:$F$345,3,0),IFERROR(VLOOKUP($B180,'Privacy Analyst Evaluation'!$A$46:$F$120,3,0),""))&amp;""</f>
        <v/>
      </c>
      <c r="E180" s="209" t="str">
        <f>IFERROR(VLOOKUP($B180,'Institution Evaluation'!$A$55:$F$345,4,0),IFERROR(VLOOKUP($B180,'Privacy Analyst Evaluation'!$A$46:$F$120,4,0),""))&amp;""</f>
        <v/>
      </c>
      <c r="F180" s="209" t="str">
        <f>IFERROR(VLOOKUP($B180,'Institution Evaluation'!$A$55:$F$345,6,0),IFERROR(VLOOKUP($B180,'Privacy Analyst Evaluation'!$A$46:$F$120,6,0),""))&amp;""</f>
        <v/>
      </c>
      <c r="G180" s="210"/>
      <c r="H180" s="209" t="str">
        <f>IFERROR(IF($H179+1&gt;'(backend scoring)'!$Q$335,"",$H179+1),"")</f>
        <v/>
      </c>
      <c r="I180" s="209" t="str">
        <f>_xlfn.XLOOKUP($H180,'(backend scoring)'!$S$2:$S$333,'(backend scoring)'!$A$2:$A$333,"")</f>
        <v/>
      </c>
      <c r="J180" s="209" t="str">
        <f>IFERROR(VLOOKUP($I180,'Institution Evaluation'!$A$55:$F$345,2,0),IFERROR(VLOOKUP($I180,'Privacy Analyst Evaluation'!$A$46:$F$120,2,0),""))</f>
        <v/>
      </c>
      <c r="K180" s="209" t="str">
        <f>IFERROR(VLOOKUP($I180,'Institution Evaluation'!$A$55:$F$345,3,0),IFERROR(VLOOKUP($I180,'Privacy Analyst Evaluation'!$A$46:$F$120,3,0),""))&amp;""</f>
        <v/>
      </c>
      <c r="L180" s="209" t="str">
        <f>IFERROR(VLOOKUP($I180,'Institution Evaluation'!$A$55:$F$345,4,0),IFERROR(VLOOKUP($I180,'Privacy Analyst Evaluation'!$A$46:$F$120,4,0),""))&amp;""</f>
        <v/>
      </c>
      <c r="M180" s="209" t="str">
        <f>IFERROR(VLOOKUP($I180,'Institution Evaluation'!$A$55:$F$345,6,0),IFERROR(VLOOKUP($I180,'Privacy Analyst Evaluation'!$A$46:$F$120,6,0),""))&amp;""</f>
        <v/>
      </c>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row>
    <row r="181" spans="1:338" x14ac:dyDescent="0.3">
      <c r="A181" s="209" t="str">
        <f>IFERROR(IF($A180+1&gt;'(backend scoring)'!$T$335,"",$A180+1),"")</f>
        <v/>
      </c>
      <c r="B181" s="209" t="str">
        <f>_xlfn.XLOOKUP($A181,'(backend scoring)'!$V$2:$V$333,'(backend scoring)'!$A$2:$A$333,"")</f>
        <v/>
      </c>
      <c r="C181" s="209" t="str">
        <f>IFERROR(VLOOKUP($B181,'Institution Evaluation'!$A$55:$F$345,2,0),IFERROR(VLOOKUP($B181,'Privacy Analyst Evaluation'!$A$46:$F$120,2,0),""))&amp;""</f>
        <v/>
      </c>
      <c r="D181" s="209" t="str">
        <f>IFERROR(VLOOKUP($B181,'Institution Evaluation'!$A$55:$F$345,3,0),IFERROR(VLOOKUP($B181,'Privacy Analyst Evaluation'!$A$46:$F$120,3,0),""))&amp;""</f>
        <v/>
      </c>
      <c r="E181" s="209" t="str">
        <f>IFERROR(VLOOKUP($B181,'Institution Evaluation'!$A$55:$F$345,4,0),IFERROR(VLOOKUP($B181,'Privacy Analyst Evaluation'!$A$46:$F$120,4,0),""))&amp;""</f>
        <v/>
      </c>
      <c r="F181" s="209" t="str">
        <f>IFERROR(VLOOKUP($B181,'Institution Evaluation'!$A$55:$F$345,6,0),IFERROR(VLOOKUP($B181,'Privacy Analyst Evaluation'!$A$46:$F$120,6,0),""))&amp;""</f>
        <v/>
      </c>
      <c r="G181" s="210"/>
      <c r="H181" s="209" t="str">
        <f>IFERROR(IF($H180+1&gt;'(backend scoring)'!$Q$335,"",$H180+1),"")</f>
        <v/>
      </c>
      <c r="I181" s="209" t="str">
        <f>_xlfn.XLOOKUP($H181,'(backend scoring)'!$S$2:$S$333,'(backend scoring)'!$A$2:$A$333,"")</f>
        <v/>
      </c>
      <c r="J181" s="209" t="str">
        <f>IFERROR(VLOOKUP($I181,'Institution Evaluation'!$A$55:$F$345,2,0),IFERROR(VLOOKUP($I181,'Privacy Analyst Evaluation'!$A$46:$F$120,2,0),""))</f>
        <v/>
      </c>
      <c r="K181" s="209" t="str">
        <f>IFERROR(VLOOKUP($I181,'Institution Evaluation'!$A$55:$F$345,3,0),IFERROR(VLOOKUP($I181,'Privacy Analyst Evaluation'!$A$46:$F$120,3,0),""))&amp;""</f>
        <v/>
      </c>
      <c r="L181" s="209" t="str">
        <f>IFERROR(VLOOKUP($I181,'Institution Evaluation'!$A$55:$F$345,4,0),IFERROR(VLOOKUP($I181,'Privacy Analyst Evaluation'!$A$46:$F$120,4,0),""))&amp;""</f>
        <v/>
      </c>
      <c r="M181" s="209" t="str">
        <f>IFERROR(VLOOKUP($I181,'Institution Evaluation'!$A$55:$F$345,6,0),IFERROR(VLOOKUP($I181,'Privacy Analyst Evaluation'!$A$46:$F$120,6,0),""))&amp;""</f>
        <v/>
      </c>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row>
    <row r="182" spans="1:338" x14ac:dyDescent="0.3">
      <c r="A182" s="209" t="str">
        <f>IFERROR(IF($A181+1&gt;'(backend scoring)'!$T$335,"",$A181+1),"")</f>
        <v/>
      </c>
      <c r="B182" s="209" t="str">
        <f>_xlfn.XLOOKUP($A182,'(backend scoring)'!$V$2:$V$333,'(backend scoring)'!$A$2:$A$333,"")</f>
        <v/>
      </c>
      <c r="C182" s="209" t="str">
        <f>IFERROR(VLOOKUP($B182,'Institution Evaluation'!$A$55:$F$345,2,0),IFERROR(VLOOKUP($B182,'Privacy Analyst Evaluation'!$A$46:$F$120,2,0),""))&amp;""</f>
        <v/>
      </c>
      <c r="D182" s="209" t="str">
        <f>IFERROR(VLOOKUP($B182,'Institution Evaluation'!$A$55:$F$345,3,0),IFERROR(VLOOKUP($B182,'Privacy Analyst Evaluation'!$A$46:$F$120,3,0),""))&amp;""</f>
        <v/>
      </c>
      <c r="E182" s="209" t="str">
        <f>IFERROR(VLOOKUP($B182,'Institution Evaluation'!$A$55:$F$345,4,0),IFERROR(VLOOKUP($B182,'Privacy Analyst Evaluation'!$A$46:$F$120,4,0),""))&amp;""</f>
        <v/>
      </c>
      <c r="F182" s="209" t="str">
        <f>IFERROR(VLOOKUP($B182,'Institution Evaluation'!$A$55:$F$345,6,0),IFERROR(VLOOKUP($B182,'Privacy Analyst Evaluation'!$A$46:$F$120,6,0),""))&amp;""</f>
        <v/>
      </c>
      <c r="G182" s="210"/>
      <c r="H182" s="209" t="str">
        <f>IFERROR(IF($H181+1&gt;'(backend scoring)'!$Q$335,"",$H181+1),"")</f>
        <v/>
      </c>
      <c r="I182" s="209" t="str">
        <f>_xlfn.XLOOKUP($H182,'(backend scoring)'!$S$2:$S$333,'(backend scoring)'!$A$2:$A$333,"")</f>
        <v/>
      </c>
      <c r="J182" s="209" t="str">
        <f>IFERROR(VLOOKUP($I182,'Institution Evaluation'!$A$55:$F$345,2,0),IFERROR(VLOOKUP($I182,'Privacy Analyst Evaluation'!$A$46:$F$120,2,0),""))</f>
        <v/>
      </c>
      <c r="K182" s="209" t="str">
        <f>IFERROR(VLOOKUP($I182,'Institution Evaluation'!$A$55:$F$345,3,0),IFERROR(VLOOKUP($I182,'Privacy Analyst Evaluation'!$A$46:$F$120,3,0),""))&amp;""</f>
        <v/>
      </c>
      <c r="L182" s="209" t="str">
        <f>IFERROR(VLOOKUP($I182,'Institution Evaluation'!$A$55:$F$345,4,0),IFERROR(VLOOKUP($I182,'Privacy Analyst Evaluation'!$A$46:$F$120,4,0),""))&amp;""</f>
        <v/>
      </c>
      <c r="M182" s="209" t="str">
        <f>IFERROR(VLOOKUP($I182,'Institution Evaluation'!$A$55:$F$345,6,0),IFERROR(VLOOKUP($I182,'Privacy Analyst Evaluation'!$A$46:$F$120,6,0),""))&amp;""</f>
        <v/>
      </c>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row>
    <row r="183" spans="1:338" x14ac:dyDescent="0.3">
      <c r="A183" s="209" t="str">
        <f>IFERROR(IF($A182+1&gt;'(backend scoring)'!$T$335,"",$A182+1),"")</f>
        <v/>
      </c>
      <c r="B183" s="209" t="str">
        <f>_xlfn.XLOOKUP($A183,'(backend scoring)'!$V$2:$V$333,'(backend scoring)'!$A$2:$A$333,"")</f>
        <v/>
      </c>
      <c r="C183" s="209" t="str">
        <f>IFERROR(VLOOKUP($B183,'Institution Evaluation'!$A$55:$F$345,2,0),IFERROR(VLOOKUP($B183,'Privacy Analyst Evaluation'!$A$46:$F$120,2,0),""))&amp;""</f>
        <v/>
      </c>
      <c r="D183" s="209" t="str">
        <f>IFERROR(VLOOKUP($B183,'Institution Evaluation'!$A$55:$F$345,3,0),IFERROR(VLOOKUP($B183,'Privacy Analyst Evaluation'!$A$46:$F$120,3,0),""))&amp;""</f>
        <v/>
      </c>
      <c r="E183" s="209" t="str">
        <f>IFERROR(VLOOKUP($B183,'Institution Evaluation'!$A$55:$F$345,4,0),IFERROR(VLOOKUP($B183,'Privacy Analyst Evaluation'!$A$46:$F$120,4,0),""))&amp;""</f>
        <v/>
      </c>
      <c r="F183" s="209" t="str">
        <f>IFERROR(VLOOKUP($B183,'Institution Evaluation'!$A$55:$F$345,6,0),IFERROR(VLOOKUP($B183,'Privacy Analyst Evaluation'!$A$46:$F$120,6,0),""))&amp;""</f>
        <v/>
      </c>
      <c r="G183" s="210"/>
      <c r="H183" s="209" t="str">
        <f>IFERROR(IF($H182+1&gt;'(backend scoring)'!$Q$335,"",$H182+1),"")</f>
        <v/>
      </c>
      <c r="I183" s="209" t="str">
        <f>_xlfn.XLOOKUP($H183,'(backend scoring)'!$S$2:$S$333,'(backend scoring)'!$A$2:$A$333,"")</f>
        <v/>
      </c>
      <c r="J183" s="209" t="str">
        <f>IFERROR(VLOOKUP($I183,'Institution Evaluation'!$A$55:$F$345,2,0),IFERROR(VLOOKUP($I183,'Privacy Analyst Evaluation'!$A$46:$F$120,2,0),""))</f>
        <v/>
      </c>
      <c r="K183" s="209" t="str">
        <f>IFERROR(VLOOKUP($I183,'Institution Evaluation'!$A$55:$F$345,3,0),IFERROR(VLOOKUP($I183,'Privacy Analyst Evaluation'!$A$46:$F$120,3,0),""))&amp;""</f>
        <v/>
      </c>
      <c r="L183" s="209" t="str">
        <f>IFERROR(VLOOKUP($I183,'Institution Evaluation'!$A$55:$F$345,4,0),IFERROR(VLOOKUP($I183,'Privacy Analyst Evaluation'!$A$46:$F$120,4,0),""))&amp;""</f>
        <v/>
      </c>
      <c r="M183" s="209" t="str">
        <f>IFERROR(VLOOKUP($I183,'Institution Evaluation'!$A$55:$F$345,6,0),IFERROR(VLOOKUP($I183,'Privacy Analyst Evaluation'!$A$46:$F$120,6,0),""))&amp;""</f>
        <v/>
      </c>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row>
    <row r="184" spans="1:338" x14ac:dyDescent="0.3">
      <c r="A184" s="209" t="str">
        <f>IFERROR(IF($A183+1&gt;'(backend scoring)'!$T$335,"",$A183+1),"")</f>
        <v/>
      </c>
      <c r="B184" s="209" t="str">
        <f>_xlfn.XLOOKUP($A184,'(backend scoring)'!$V$2:$V$333,'(backend scoring)'!$A$2:$A$333,"")</f>
        <v/>
      </c>
      <c r="C184" s="209" t="str">
        <f>IFERROR(VLOOKUP($B184,'Institution Evaluation'!$A$55:$F$345,2,0),IFERROR(VLOOKUP($B184,'Privacy Analyst Evaluation'!$A$46:$F$120,2,0),""))&amp;""</f>
        <v/>
      </c>
      <c r="D184" s="209" t="str">
        <f>IFERROR(VLOOKUP($B184,'Institution Evaluation'!$A$55:$F$345,3,0),IFERROR(VLOOKUP($B184,'Privacy Analyst Evaluation'!$A$46:$F$120,3,0),""))&amp;""</f>
        <v/>
      </c>
      <c r="E184" s="209" t="str">
        <f>IFERROR(VLOOKUP($B184,'Institution Evaluation'!$A$55:$F$345,4,0),IFERROR(VLOOKUP($B184,'Privacy Analyst Evaluation'!$A$46:$F$120,4,0),""))&amp;""</f>
        <v/>
      </c>
      <c r="F184" s="209" t="str">
        <f>IFERROR(VLOOKUP($B184,'Institution Evaluation'!$A$55:$F$345,6,0),IFERROR(VLOOKUP($B184,'Privacy Analyst Evaluation'!$A$46:$F$120,6,0),""))&amp;""</f>
        <v/>
      </c>
      <c r="G184" s="210"/>
      <c r="H184" s="209" t="str">
        <f>IFERROR(IF($H183+1&gt;'(backend scoring)'!$Q$335,"",$H183+1),"")</f>
        <v/>
      </c>
      <c r="I184" s="209" t="str">
        <f>_xlfn.XLOOKUP($H184,'(backend scoring)'!$S$2:$S$333,'(backend scoring)'!$A$2:$A$333,"")</f>
        <v/>
      </c>
      <c r="J184" s="209" t="str">
        <f>IFERROR(VLOOKUP($I184,'Institution Evaluation'!$A$55:$F$345,2,0),IFERROR(VLOOKUP($I184,'Privacy Analyst Evaluation'!$A$46:$F$120,2,0),""))</f>
        <v/>
      </c>
      <c r="K184" s="209" t="str">
        <f>IFERROR(VLOOKUP($I184,'Institution Evaluation'!$A$55:$F$345,3,0),IFERROR(VLOOKUP($I184,'Privacy Analyst Evaluation'!$A$46:$F$120,3,0),""))&amp;""</f>
        <v/>
      </c>
      <c r="L184" s="209" t="str">
        <f>IFERROR(VLOOKUP($I184,'Institution Evaluation'!$A$55:$F$345,4,0),IFERROR(VLOOKUP($I184,'Privacy Analyst Evaluation'!$A$46:$F$120,4,0),""))&amp;""</f>
        <v/>
      </c>
      <c r="M184" s="209" t="str">
        <f>IFERROR(VLOOKUP($I184,'Institution Evaluation'!$A$55:$F$345,6,0),IFERROR(VLOOKUP($I184,'Privacy Analyst Evaluation'!$A$46:$F$120,6,0),""))&amp;""</f>
        <v/>
      </c>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row>
    <row r="185" spans="1:338" x14ac:dyDescent="0.3">
      <c r="A185" s="209" t="str">
        <f>IFERROR(IF($A184+1&gt;'(backend scoring)'!$T$335,"",$A184+1),"")</f>
        <v/>
      </c>
      <c r="B185" s="209" t="str">
        <f>_xlfn.XLOOKUP($A185,'(backend scoring)'!$V$2:$V$333,'(backend scoring)'!$A$2:$A$333,"")</f>
        <v/>
      </c>
      <c r="C185" s="209" t="str">
        <f>IFERROR(VLOOKUP($B185,'Institution Evaluation'!$A$55:$F$345,2,0),IFERROR(VLOOKUP($B185,'Privacy Analyst Evaluation'!$A$46:$F$120,2,0),""))&amp;""</f>
        <v/>
      </c>
      <c r="D185" s="209" t="str">
        <f>IFERROR(VLOOKUP($B185,'Institution Evaluation'!$A$55:$F$345,3,0),IFERROR(VLOOKUP($B185,'Privacy Analyst Evaluation'!$A$46:$F$120,3,0),""))&amp;""</f>
        <v/>
      </c>
      <c r="E185" s="209" t="str">
        <f>IFERROR(VLOOKUP($B185,'Institution Evaluation'!$A$55:$F$345,4,0),IFERROR(VLOOKUP($B185,'Privacy Analyst Evaluation'!$A$46:$F$120,4,0),""))&amp;""</f>
        <v/>
      </c>
      <c r="F185" s="209" t="str">
        <f>IFERROR(VLOOKUP($B185,'Institution Evaluation'!$A$55:$F$345,6,0),IFERROR(VLOOKUP($B185,'Privacy Analyst Evaluation'!$A$46:$F$120,6,0),""))&amp;""</f>
        <v/>
      </c>
      <c r="G185" s="210"/>
      <c r="H185" s="209" t="str">
        <f>IFERROR(IF($H184+1&gt;'(backend scoring)'!$Q$335,"",$H184+1),"")</f>
        <v/>
      </c>
      <c r="I185" s="209" t="str">
        <f>_xlfn.XLOOKUP($H185,'(backend scoring)'!$S$2:$S$333,'(backend scoring)'!$A$2:$A$333,"")</f>
        <v/>
      </c>
      <c r="J185" s="209" t="str">
        <f>IFERROR(VLOOKUP($I185,'Institution Evaluation'!$A$55:$F$345,2,0),IFERROR(VLOOKUP($I185,'Privacy Analyst Evaluation'!$A$46:$F$120,2,0),""))</f>
        <v/>
      </c>
      <c r="K185" s="209" t="str">
        <f>IFERROR(VLOOKUP($I185,'Institution Evaluation'!$A$55:$F$345,3,0),IFERROR(VLOOKUP($I185,'Privacy Analyst Evaluation'!$A$46:$F$120,3,0),""))&amp;""</f>
        <v/>
      </c>
      <c r="L185" s="209" t="str">
        <f>IFERROR(VLOOKUP($I185,'Institution Evaluation'!$A$55:$F$345,4,0),IFERROR(VLOOKUP($I185,'Privacy Analyst Evaluation'!$A$46:$F$120,4,0),""))&amp;""</f>
        <v/>
      </c>
      <c r="M185" s="209" t="str">
        <f>IFERROR(VLOOKUP($I185,'Institution Evaluation'!$A$55:$F$345,6,0),IFERROR(VLOOKUP($I185,'Privacy Analyst Evaluation'!$A$46:$F$120,6,0),""))&amp;""</f>
        <v/>
      </c>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row>
    <row r="186" spans="1:338" x14ac:dyDescent="0.3">
      <c r="A186" s="209" t="str">
        <f>IFERROR(IF($A185+1&gt;'(backend scoring)'!$T$335,"",$A185+1),"")</f>
        <v/>
      </c>
      <c r="B186" s="209" t="str">
        <f>_xlfn.XLOOKUP($A186,'(backend scoring)'!$V$2:$V$333,'(backend scoring)'!$A$2:$A$333,"")</f>
        <v/>
      </c>
      <c r="C186" s="209" t="str">
        <f>IFERROR(VLOOKUP($B186,'Institution Evaluation'!$A$55:$F$345,2,0),IFERROR(VLOOKUP($B186,'Privacy Analyst Evaluation'!$A$46:$F$120,2,0),""))&amp;""</f>
        <v/>
      </c>
      <c r="D186" s="209" t="str">
        <f>IFERROR(VLOOKUP($B186,'Institution Evaluation'!$A$55:$F$345,3,0),IFERROR(VLOOKUP($B186,'Privacy Analyst Evaluation'!$A$46:$F$120,3,0),""))&amp;""</f>
        <v/>
      </c>
      <c r="E186" s="209" t="str">
        <f>IFERROR(VLOOKUP($B186,'Institution Evaluation'!$A$55:$F$345,4,0),IFERROR(VLOOKUP($B186,'Privacy Analyst Evaluation'!$A$46:$F$120,4,0),""))&amp;""</f>
        <v/>
      </c>
      <c r="F186" s="209" t="str">
        <f>IFERROR(VLOOKUP($B186,'Institution Evaluation'!$A$55:$F$345,6,0),IFERROR(VLOOKUP($B186,'Privacy Analyst Evaluation'!$A$46:$F$120,6,0),""))&amp;""</f>
        <v/>
      </c>
      <c r="G186" s="210"/>
      <c r="H186" s="209" t="str">
        <f>IFERROR(IF($H185+1&gt;'(backend scoring)'!$Q$335,"",$H185+1),"")</f>
        <v/>
      </c>
      <c r="I186" s="209" t="str">
        <f>_xlfn.XLOOKUP($H186,'(backend scoring)'!$S$2:$S$333,'(backend scoring)'!$A$2:$A$333,"")</f>
        <v/>
      </c>
      <c r="J186" s="209" t="str">
        <f>IFERROR(VLOOKUP($I186,'Institution Evaluation'!$A$55:$F$345,2,0),IFERROR(VLOOKUP($I186,'Privacy Analyst Evaluation'!$A$46:$F$120,2,0),""))</f>
        <v/>
      </c>
      <c r="K186" s="209" t="str">
        <f>IFERROR(VLOOKUP($I186,'Institution Evaluation'!$A$55:$F$345,3,0),IFERROR(VLOOKUP($I186,'Privacy Analyst Evaluation'!$A$46:$F$120,3,0),""))&amp;""</f>
        <v/>
      </c>
      <c r="L186" s="209" t="str">
        <f>IFERROR(VLOOKUP($I186,'Institution Evaluation'!$A$55:$F$345,4,0),IFERROR(VLOOKUP($I186,'Privacy Analyst Evaluation'!$A$46:$F$120,4,0),""))&amp;""</f>
        <v/>
      </c>
      <c r="M186" s="209" t="str">
        <f>IFERROR(VLOOKUP($I186,'Institution Evaluation'!$A$55:$F$345,6,0),IFERROR(VLOOKUP($I186,'Privacy Analyst Evaluation'!$A$46:$F$120,6,0),""))&amp;""</f>
        <v/>
      </c>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row>
    <row r="187" spans="1:338" x14ac:dyDescent="0.3">
      <c r="A187" s="209" t="str">
        <f>IFERROR(IF($A186+1&gt;'(backend scoring)'!$T$335,"",$A186+1),"")</f>
        <v/>
      </c>
      <c r="B187" s="209" t="str">
        <f>_xlfn.XLOOKUP($A187,'(backend scoring)'!$V$2:$V$333,'(backend scoring)'!$A$2:$A$333,"")</f>
        <v/>
      </c>
      <c r="C187" s="209" t="str">
        <f>IFERROR(VLOOKUP($B187,'Institution Evaluation'!$A$55:$F$345,2,0),IFERROR(VLOOKUP($B187,'Privacy Analyst Evaluation'!$A$46:$F$120,2,0),""))&amp;""</f>
        <v/>
      </c>
      <c r="D187" s="209" t="str">
        <f>IFERROR(VLOOKUP($B187,'Institution Evaluation'!$A$55:$F$345,3,0),IFERROR(VLOOKUP($B187,'Privacy Analyst Evaluation'!$A$46:$F$120,3,0),""))&amp;""</f>
        <v/>
      </c>
      <c r="E187" s="209" t="str">
        <f>IFERROR(VLOOKUP($B187,'Institution Evaluation'!$A$55:$F$345,4,0),IFERROR(VLOOKUP($B187,'Privacy Analyst Evaluation'!$A$46:$F$120,4,0),""))&amp;""</f>
        <v/>
      </c>
      <c r="F187" s="209" t="str">
        <f>IFERROR(VLOOKUP($B187,'Institution Evaluation'!$A$55:$F$345,6,0),IFERROR(VLOOKUP($B187,'Privacy Analyst Evaluation'!$A$46:$F$120,6,0),""))&amp;""</f>
        <v/>
      </c>
      <c r="G187" s="210"/>
      <c r="H187" s="209" t="str">
        <f>IFERROR(IF($H186+1&gt;'(backend scoring)'!$Q$335,"",$H186+1),"")</f>
        <v/>
      </c>
      <c r="I187" s="209" t="str">
        <f>_xlfn.XLOOKUP($H187,'(backend scoring)'!$S$2:$S$333,'(backend scoring)'!$A$2:$A$333,"")</f>
        <v/>
      </c>
      <c r="J187" s="209" t="str">
        <f>IFERROR(VLOOKUP($I187,'Institution Evaluation'!$A$55:$F$345,2,0),IFERROR(VLOOKUP($I187,'Privacy Analyst Evaluation'!$A$46:$F$120,2,0),""))</f>
        <v/>
      </c>
      <c r="K187" s="209" t="str">
        <f>IFERROR(VLOOKUP($I187,'Institution Evaluation'!$A$55:$F$345,3,0),IFERROR(VLOOKUP($I187,'Privacy Analyst Evaluation'!$A$46:$F$120,3,0),""))&amp;""</f>
        <v/>
      </c>
      <c r="L187" s="209" t="str">
        <f>IFERROR(VLOOKUP($I187,'Institution Evaluation'!$A$55:$F$345,4,0),IFERROR(VLOOKUP($I187,'Privacy Analyst Evaluation'!$A$46:$F$120,4,0),""))&amp;""</f>
        <v/>
      </c>
      <c r="M187" s="209" t="str">
        <f>IFERROR(VLOOKUP($I187,'Institution Evaluation'!$A$55:$F$345,6,0),IFERROR(VLOOKUP($I187,'Privacy Analyst Evaluation'!$A$46:$F$120,6,0),""))&amp;""</f>
        <v/>
      </c>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row>
    <row r="188" spans="1:338" x14ac:dyDescent="0.3">
      <c r="A188" s="209" t="str">
        <f>IFERROR(IF($A187+1&gt;'(backend scoring)'!$T$335,"",$A187+1),"")</f>
        <v/>
      </c>
      <c r="B188" s="209" t="str">
        <f>_xlfn.XLOOKUP($A188,'(backend scoring)'!$V$2:$V$333,'(backend scoring)'!$A$2:$A$333,"")</f>
        <v/>
      </c>
      <c r="C188" s="209" t="str">
        <f>IFERROR(VLOOKUP($B188,'Institution Evaluation'!$A$55:$F$345,2,0),IFERROR(VLOOKUP($B188,'Privacy Analyst Evaluation'!$A$46:$F$120,2,0),""))&amp;""</f>
        <v/>
      </c>
      <c r="D188" s="209" t="str">
        <f>IFERROR(VLOOKUP($B188,'Institution Evaluation'!$A$55:$F$345,3,0),IFERROR(VLOOKUP($B188,'Privacy Analyst Evaluation'!$A$46:$F$120,3,0),""))&amp;""</f>
        <v/>
      </c>
      <c r="E188" s="209" t="str">
        <f>IFERROR(VLOOKUP($B188,'Institution Evaluation'!$A$55:$F$345,4,0),IFERROR(VLOOKUP($B188,'Privacy Analyst Evaluation'!$A$46:$F$120,4,0),""))&amp;""</f>
        <v/>
      </c>
      <c r="F188" s="209" t="str">
        <f>IFERROR(VLOOKUP($B188,'Institution Evaluation'!$A$55:$F$345,6,0),IFERROR(VLOOKUP($B188,'Privacy Analyst Evaluation'!$A$46:$F$120,6,0),""))&amp;""</f>
        <v/>
      </c>
      <c r="G188" s="210"/>
      <c r="H188" s="209" t="str">
        <f>IFERROR(IF($H187+1&gt;'(backend scoring)'!$Q$335,"",$H187+1),"")</f>
        <v/>
      </c>
      <c r="I188" s="209" t="str">
        <f>_xlfn.XLOOKUP($H188,'(backend scoring)'!$S$2:$S$333,'(backend scoring)'!$A$2:$A$333,"")</f>
        <v/>
      </c>
      <c r="J188" s="209" t="str">
        <f>IFERROR(VLOOKUP($I188,'Institution Evaluation'!$A$55:$F$345,2,0),IFERROR(VLOOKUP($I188,'Privacy Analyst Evaluation'!$A$46:$F$120,2,0),""))</f>
        <v/>
      </c>
      <c r="K188" s="209" t="str">
        <f>IFERROR(VLOOKUP($I188,'Institution Evaluation'!$A$55:$F$345,3,0),IFERROR(VLOOKUP($I188,'Privacy Analyst Evaluation'!$A$46:$F$120,3,0),""))&amp;""</f>
        <v/>
      </c>
      <c r="L188" s="209" t="str">
        <f>IFERROR(VLOOKUP($I188,'Institution Evaluation'!$A$55:$F$345,4,0),IFERROR(VLOOKUP($I188,'Privacy Analyst Evaluation'!$A$46:$F$120,4,0),""))&amp;""</f>
        <v/>
      </c>
      <c r="M188" s="209" t="str">
        <f>IFERROR(VLOOKUP($I188,'Institution Evaluation'!$A$55:$F$345,6,0),IFERROR(VLOOKUP($I188,'Privacy Analyst Evaluation'!$A$46:$F$120,6,0),""))&amp;""</f>
        <v/>
      </c>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row>
    <row r="189" spans="1:338" x14ac:dyDescent="0.3">
      <c r="A189" s="209" t="str">
        <f>IFERROR(IF($A188+1&gt;'(backend scoring)'!$T$335,"",$A188+1),"")</f>
        <v/>
      </c>
      <c r="B189" s="209" t="str">
        <f>_xlfn.XLOOKUP($A189,'(backend scoring)'!$V$2:$V$333,'(backend scoring)'!$A$2:$A$333,"")</f>
        <v/>
      </c>
      <c r="C189" s="209" t="str">
        <f>IFERROR(VLOOKUP($B189,'Institution Evaluation'!$A$55:$F$345,2,0),IFERROR(VLOOKUP($B189,'Privacy Analyst Evaluation'!$A$46:$F$120,2,0),""))&amp;""</f>
        <v/>
      </c>
      <c r="D189" s="209" t="str">
        <f>IFERROR(VLOOKUP($B189,'Institution Evaluation'!$A$55:$F$345,3,0),IFERROR(VLOOKUP($B189,'Privacy Analyst Evaluation'!$A$46:$F$120,3,0),""))&amp;""</f>
        <v/>
      </c>
      <c r="E189" s="209" t="str">
        <f>IFERROR(VLOOKUP($B189,'Institution Evaluation'!$A$55:$F$345,4,0),IFERROR(VLOOKUP($B189,'Privacy Analyst Evaluation'!$A$46:$F$120,4,0),""))&amp;""</f>
        <v/>
      </c>
      <c r="F189" s="209" t="str">
        <f>IFERROR(VLOOKUP($B189,'Institution Evaluation'!$A$55:$F$345,6,0),IFERROR(VLOOKUP($B189,'Privacy Analyst Evaluation'!$A$46:$F$120,6,0),""))&amp;""</f>
        <v/>
      </c>
      <c r="G189" s="210"/>
      <c r="H189" s="209" t="str">
        <f>IFERROR(IF($H188+1&gt;'(backend scoring)'!$Q$335,"",$H188+1),"")</f>
        <v/>
      </c>
      <c r="I189" s="209" t="str">
        <f>_xlfn.XLOOKUP($H189,'(backend scoring)'!$S$2:$S$333,'(backend scoring)'!$A$2:$A$333,"")</f>
        <v/>
      </c>
      <c r="J189" s="209" t="str">
        <f>IFERROR(VLOOKUP($I189,'Institution Evaluation'!$A$55:$F$345,2,0),IFERROR(VLOOKUP($I189,'Privacy Analyst Evaluation'!$A$46:$F$120,2,0),""))</f>
        <v/>
      </c>
      <c r="K189" s="209" t="str">
        <f>IFERROR(VLOOKUP($I189,'Institution Evaluation'!$A$55:$F$345,3,0),IFERROR(VLOOKUP($I189,'Privacy Analyst Evaluation'!$A$46:$F$120,3,0),""))&amp;""</f>
        <v/>
      </c>
      <c r="L189" s="209" t="str">
        <f>IFERROR(VLOOKUP($I189,'Institution Evaluation'!$A$55:$F$345,4,0),IFERROR(VLOOKUP($I189,'Privacy Analyst Evaluation'!$A$46:$F$120,4,0),""))&amp;""</f>
        <v/>
      </c>
      <c r="M189" s="209" t="str">
        <f>IFERROR(VLOOKUP($I189,'Institution Evaluation'!$A$55:$F$345,6,0),IFERROR(VLOOKUP($I189,'Privacy Analyst Evaluation'!$A$46:$F$120,6,0),""))&amp;""</f>
        <v/>
      </c>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row>
    <row r="190" spans="1:338" x14ac:dyDescent="0.3">
      <c r="A190" s="209" t="str">
        <f>IFERROR(IF($A189+1&gt;'(backend scoring)'!$T$335,"",$A189+1),"")</f>
        <v/>
      </c>
      <c r="B190" s="209" t="str">
        <f>_xlfn.XLOOKUP($A190,'(backend scoring)'!$V$2:$V$333,'(backend scoring)'!$A$2:$A$333,"")</f>
        <v/>
      </c>
      <c r="C190" s="209" t="str">
        <f>IFERROR(VLOOKUP($B190,'Institution Evaluation'!$A$55:$F$345,2,0),IFERROR(VLOOKUP($B190,'Privacy Analyst Evaluation'!$A$46:$F$120,2,0),""))&amp;""</f>
        <v/>
      </c>
      <c r="D190" s="209" t="str">
        <f>IFERROR(VLOOKUP($B190,'Institution Evaluation'!$A$55:$F$345,3,0),IFERROR(VLOOKUP($B190,'Privacy Analyst Evaluation'!$A$46:$F$120,3,0),""))&amp;""</f>
        <v/>
      </c>
      <c r="E190" s="209" t="str">
        <f>IFERROR(VLOOKUP($B190,'Institution Evaluation'!$A$55:$F$345,4,0),IFERROR(VLOOKUP($B190,'Privacy Analyst Evaluation'!$A$46:$F$120,4,0),""))&amp;""</f>
        <v/>
      </c>
      <c r="F190" s="209" t="str">
        <f>IFERROR(VLOOKUP($B190,'Institution Evaluation'!$A$55:$F$345,6,0),IFERROR(VLOOKUP($B190,'Privacy Analyst Evaluation'!$A$46:$F$120,6,0),""))&amp;""</f>
        <v/>
      </c>
      <c r="G190" s="210"/>
      <c r="H190" s="209" t="str">
        <f>IFERROR(IF($H189+1&gt;'(backend scoring)'!$Q$335,"",$H189+1),"")</f>
        <v/>
      </c>
      <c r="I190" s="209" t="str">
        <f>_xlfn.XLOOKUP($H190,'(backend scoring)'!$S$2:$S$333,'(backend scoring)'!$A$2:$A$333,"")</f>
        <v/>
      </c>
      <c r="J190" s="209" t="str">
        <f>IFERROR(VLOOKUP($I190,'Institution Evaluation'!$A$55:$F$345,2,0),IFERROR(VLOOKUP($I190,'Privacy Analyst Evaluation'!$A$46:$F$120,2,0),""))</f>
        <v/>
      </c>
      <c r="K190" s="209" t="str">
        <f>IFERROR(VLOOKUP($I190,'Institution Evaluation'!$A$55:$F$345,3,0),IFERROR(VLOOKUP($I190,'Privacy Analyst Evaluation'!$A$46:$F$120,3,0),""))&amp;""</f>
        <v/>
      </c>
      <c r="L190" s="209" t="str">
        <f>IFERROR(VLOOKUP($I190,'Institution Evaluation'!$A$55:$F$345,4,0),IFERROR(VLOOKUP($I190,'Privacy Analyst Evaluation'!$A$46:$F$120,4,0),""))&amp;""</f>
        <v/>
      </c>
      <c r="M190" s="209" t="str">
        <f>IFERROR(VLOOKUP($I190,'Institution Evaluation'!$A$55:$F$345,6,0),IFERROR(VLOOKUP($I190,'Privacy Analyst Evaluation'!$A$46:$F$120,6,0),""))&amp;""</f>
        <v/>
      </c>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row>
    <row r="191" spans="1:338" x14ac:dyDescent="0.3">
      <c r="A191" s="209" t="str">
        <f>IFERROR(IF($A190+1&gt;'(backend scoring)'!$T$335,"",$A190+1),"")</f>
        <v/>
      </c>
      <c r="B191" s="209" t="str">
        <f>_xlfn.XLOOKUP($A191,'(backend scoring)'!$V$2:$V$333,'(backend scoring)'!$A$2:$A$333,"")</f>
        <v/>
      </c>
      <c r="C191" s="209" t="str">
        <f>IFERROR(VLOOKUP($B191,'Institution Evaluation'!$A$55:$F$345,2,0),IFERROR(VLOOKUP($B191,'Privacy Analyst Evaluation'!$A$46:$F$120,2,0),""))&amp;""</f>
        <v/>
      </c>
      <c r="D191" s="209" t="str">
        <f>IFERROR(VLOOKUP($B191,'Institution Evaluation'!$A$55:$F$345,3,0),IFERROR(VLOOKUP($B191,'Privacy Analyst Evaluation'!$A$46:$F$120,3,0),""))&amp;""</f>
        <v/>
      </c>
      <c r="E191" s="209" t="str">
        <f>IFERROR(VLOOKUP($B191,'Institution Evaluation'!$A$55:$F$345,4,0),IFERROR(VLOOKUP($B191,'Privacy Analyst Evaluation'!$A$46:$F$120,4,0),""))&amp;""</f>
        <v/>
      </c>
      <c r="F191" s="209" t="str">
        <f>IFERROR(VLOOKUP($B191,'Institution Evaluation'!$A$55:$F$345,6,0),IFERROR(VLOOKUP($B191,'Privacy Analyst Evaluation'!$A$46:$F$120,6,0),""))&amp;""</f>
        <v/>
      </c>
      <c r="G191" s="210"/>
      <c r="H191" s="209" t="str">
        <f>IFERROR(IF($H190+1&gt;'(backend scoring)'!$Q$335,"",$H190+1),"")</f>
        <v/>
      </c>
      <c r="I191" s="209" t="str">
        <f>_xlfn.XLOOKUP($H191,'(backend scoring)'!$S$2:$S$333,'(backend scoring)'!$A$2:$A$333,"")</f>
        <v/>
      </c>
      <c r="J191" s="209" t="str">
        <f>IFERROR(VLOOKUP($I191,'Institution Evaluation'!$A$55:$F$345,2,0),IFERROR(VLOOKUP($I191,'Privacy Analyst Evaluation'!$A$46:$F$120,2,0),""))</f>
        <v/>
      </c>
      <c r="K191" s="209" t="str">
        <f>IFERROR(VLOOKUP($I191,'Institution Evaluation'!$A$55:$F$345,3,0),IFERROR(VLOOKUP($I191,'Privacy Analyst Evaluation'!$A$46:$F$120,3,0),""))&amp;""</f>
        <v/>
      </c>
      <c r="L191" s="209" t="str">
        <f>IFERROR(VLOOKUP($I191,'Institution Evaluation'!$A$55:$F$345,4,0),IFERROR(VLOOKUP($I191,'Privacy Analyst Evaluation'!$A$46:$F$120,4,0),""))&amp;""</f>
        <v/>
      </c>
      <c r="M191" s="209" t="str">
        <f>IFERROR(VLOOKUP($I191,'Institution Evaluation'!$A$55:$F$345,6,0),IFERROR(VLOOKUP($I191,'Privacy Analyst Evaluation'!$A$46:$F$120,6,0),""))&amp;""</f>
        <v/>
      </c>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row>
    <row r="192" spans="1:338" x14ac:dyDescent="0.3">
      <c r="A192" s="209" t="str">
        <f>IFERROR(IF($A191+1&gt;'(backend scoring)'!$T$335,"",$A191+1),"")</f>
        <v/>
      </c>
      <c r="B192" s="209" t="str">
        <f>_xlfn.XLOOKUP($A192,'(backend scoring)'!$V$2:$V$333,'(backend scoring)'!$A$2:$A$333,"")</f>
        <v/>
      </c>
      <c r="C192" s="209" t="str">
        <f>IFERROR(VLOOKUP($B192,'Institution Evaluation'!$A$55:$F$345,2,0),IFERROR(VLOOKUP($B192,'Privacy Analyst Evaluation'!$A$46:$F$120,2,0),""))&amp;""</f>
        <v/>
      </c>
      <c r="D192" s="209" t="str">
        <f>IFERROR(VLOOKUP($B192,'Institution Evaluation'!$A$55:$F$345,3,0),IFERROR(VLOOKUP($B192,'Privacy Analyst Evaluation'!$A$46:$F$120,3,0),""))&amp;""</f>
        <v/>
      </c>
      <c r="E192" s="209" t="str">
        <f>IFERROR(VLOOKUP($B192,'Institution Evaluation'!$A$55:$F$345,4,0),IFERROR(VLOOKUP($B192,'Privacy Analyst Evaluation'!$A$46:$F$120,4,0),""))&amp;""</f>
        <v/>
      </c>
      <c r="F192" s="209" t="str">
        <f>IFERROR(VLOOKUP($B192,'Institution Evaluation'!$A$55:$F$345,6,0),IFERROR(VLOOKUP($B192,'Privacy Analyst Evaluation'!$A$46:$F$120,6,0),""))&amp;""</f>
        <v/>
      </c>
      <c r="G192" s="210"/>
      <c r="H192" s="209" t="str">
        <f>IFERROR(IF($H191+1&gt;'(backend scoring)'!$Q$335,"",$H191+1),"")</f>
        <v/>
      </c>
      <c r="I192" s="209" t="str">
        <f>_xlfn.XLOOKUP($H192,'(backend scoring)'!$S$2:$S$333,'(backend scoring)'!$A$2:$A$333,"")</f>
        <v/>
      </c>
      <c r="J192" s="209" t="str">
        <f>IFERROR(VLOOKUP($I192,'Institution Evaluation'!$A$55:$F$345,2,0),IFERROR(VLOOKUP($I192,'Privacy Analyst Evaluation'!$A$46:$F$120,2,0),""))</f>
        <v/>
      </c>
      <c r="K192" s="209" t="str">
        <f>IFERROR(VLOOKUP($I192,'Institution Evaluation'!$A$55:$F$345,3,0),IFERROR(VLOOKUP($I192,'Privacy Analyst Evaluation'!$A$46:$F$120,3,0),""))&amp;""</f>
        <v/>
      </c>
      <c r="L192" s="209" t="str">
        <f>IFERROR(VLOOKUP($I192,'Institution Evaluation'!$A$55:$F$345,4,0),IFERROR(VLOOKUP($I192,'Privacy Analyst Evaluation'!$A$46:$F$120,4,0),""))&amp;""</f>
        <v/>
      </c>
      <c r="M192" s="209" t="str">
        <f>IFERROR(VLOOKUP($I192,'Institution Evaluation'!$A$55:$F$345,6,0),IFERROR(VLOOKUP($I192,'Privacy Analyst Evaluation'!$A$46:$F$120,6,0),""))&amp;""</f>
        <v/>
      </c>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row>
    <row r="193" spans="1:338" x14ac:dyDescent="0.3">
      <c r="A193" s="209" t="str">
        <f>IFERROR(IF($A192+1&gt;'(backend scoring)'!$T$335,"",$A192+1),"")</f>
        <v/>
      </c>
      <c r="B193" s="209" t="str">
        <f>_xlfn.XLOOKUP($A193,'(backend scoring)'!$V$2:$V$333,'(backend scoring)'!$A$2:$A$333,"")</f>
        <v/>
      </c>
      <c r="C193" s="209" t="str">
        <f>IFERROR(VLOOKUP($B193,'Institution Evaluation'!$A$55:$F$345,2,0),IFERROR(VLOOKUP($B193,'Privacy Analyst Evaluation'!$A$46:$F$120,2,0),""))&amp;""</f>
        <v/>
      </c>
      <c r="D193" s="209" t="str">
        <f>IFERROR(VLOOKUP($B193,'Institution Evaluation'!$A$55:$F$345,3,0),IFERROR(VLOOKUP($B193,'Privacy Analyst Evaluation'!$A$46:$F$120,3,0),""))&amp;""</f>
        <v/>
      </c>
      <c r="E193" s="209" t="str">
        <f>IFERROR(VLOOKUP($B193,'Institution Evaluation'!$A$55:$F$345,4,0),IFERROR(VLOOKUP($B193,'Privacy Analyst Evaluation'!$A$46:$F$120,4,0),""))&amp;""</f>
        <v/>
      </c>
      <c r="F193" s="209" t="str">
        <f>IFERROR(VLOOKUP($B193,'Institution Evaluation'!$A$55:$F$345,6,0),IFERROR(VLOOKUP($B193,'Privacy Analyst Evaluation'!$A$46:$F$120,6,0),""))&amp;""</f>
        <v/>
      </c>
      <c r="G193" s="210"/>
      <c r="H193" s="209" t="str">
        <f>IFERROR(IF($H192+1&gt;'(backend scoring)'!$Q$335,"",$H192+1),"")</f>
        <v/>
      </c>
      <c r="I193" s="209" t="str">
        <f>_xlfn.XLOOKUP($H193,'(backend scoring)'!$S$2:$S$333,'(backend scoring)'!$A$2:$A$333,"")</f>
        <v/>
      </c>
      <c r="J193" s="209" t="str">
        <f>IFERROR(VLOOKUP($I193,'Institution Evaluation'!$A$55:$F$345,2,0),IFERROR(VLOOKUP($I193,'Privacy Analyst Evaluation'!$A$46:$F$120,2,0),""))</f>
        <v/>
      </c>
      <c r="K193" s="209" t="str">
        <f>IFERROR(VLOOKUP($I193,'Institution Evaluation'!$A$55:$F$345,3,0),IFERROR(VLOOKUP($I193,'Privacy Analyst Evaluation'!$A$46:$F$120,3,0),""))&amp;""</f>
        <v/>
      </c>
      <c r="L193" s="209" t="str">
        <f>IFERROR(VLOOKUP($I193,'Institution Evaluation'!$A$55:$F$345,4,0),IFERROR(VLOOKUP($I193,'Privacy Analyst Evaluation'!$A$46:$F$120,4,0),""))&amp;""</f>
        <v/>
      </c>
      <c r="M193" s="209" t="str">
        <f>IFERROR(VLOOKUP($I193,'Institution Evaluation'!$A$55:$F$345,6,0),IFERROR(VLOOKUP($I193,'Privacy Analyst Evaluation'!$A$46:$F$120,6,0),""))&amp;""</f>
        <v/>
      </c>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row>
    <row r="194" spans="1:338" x14ac:dyDescent="0.3">
      <c r="A194" s="209" t="str">
        <f>IFERROR(IF($A193+1&gt;'(backend scoring)'!$T$335,"",$A193+1),"")</f>
        <v/>
      </c>
      <c r="B194" s="209" t="str">
        <f>_xlfn.XLOOKUP($A194,'(backend scoring)'!$V$2:$V$333,'(backend scoring)'!$A$2:$A$333,"")</f>
        <v/>
      </c>
      <c r="C194" s="209" t="str">
        <f>IFERROR(VLOOKUP($B194,'Institution Evaluation'!$A$55:$F$345,2,0),IFERROR(VLOOKUP($B194,'Privacy Analyst Evaluation'!$A$46:$F$120,2,0),""))&amp;""</f>
        <v/>
      </c>
      <c r="D194" s="209" t="str">
        <f>IFERROR(VLOOKUP($B194,'Institution Evaluation'!$A$55:$F$345,3,0),IFERROR(VLOOKUP($B194,'Privacy Analyst Evaluation'!$A$46:$F$120,3,0),""))&amp;""</f>
        <v/>
      </c>
      <c r="E194" s="209" t="str">
        <f>IFERROR(VLOOKUP($B194,'Institution Evaluation'!$A$55:$F$345,4,0),IFERROR(VLOOKUP($B194,'Privacy Analyst Evaluation'!$A$46:$F$120,4,0),""))&amp;""</f>
        <v/>
      </c>
      <c r="F194" s="209" t="str">
        <f>IFERROR(VLOOKUP($B194,'Institution Evaluation'!$A$55:$F$345,6,0),IFERROR(VLOOKUP($B194,'Privacy Analyst Evaluation'!$A$46:$F$120,6,0),""))&amp;""</f>
        <v/>
      </c>
      <c r="G194" s="210"/>
      <c r="H194" s="209" t="str">
        <f>IFERROR(IF($H193+1&gt;'(backend scoring)'!$Q$335,"",$H193+1),"")</f>
        <v/>
      </c>
      <c r="I194" s="209" t="str">
        <f>_xlfn.XLOOKUP($H194,'(backend scoring)'!$S$2:$S$333,'(backend scoring)'!$A$2:$A$333,"")</f>
        <v/>
      </c>
      <c r="J194" s="209" t="str">
        <f>IFERROR(VLOOKUP($I194,'Institution Evaluation'!$A$55:$F$345,2,0),IFERROR(VLOOKUP($I194,'Privacy Analyst Evaluation'!$A$46:$F$120,2,0),""))</f>
        <v/>
      </c>
      <c r="K194" s="209" t="str">
        <f>IFERROR(VLOOKUP($I194,'Institution Evaluation'!$A$55:$F$345,3,0),IFERROR(VLOOKUP($I194,'Privacy Analyst Evaluation'!$A$46:$F$120,3,0),""))&amp;""</f>
        <v/>
      </c>
      <c r="L194" s="209" t="str">
        <f>IFERROR(VLOOKUP($I194,'Institution Evaluation'!$A$55:$F$345,4,0),IFERROR(VLOOKUP($I194,'Privacy Analyst Evaluation'!$A$46:$F$120,4,0),""))&amp;""</f>
        <v/>
      </c>
      <c r="M194" s="209" t="str">
        <f>IFERROR(VLOOKUP($I194,'Institution Evaluation'!$A$55:$F$345,6,0),IFERROR(VLOOKUP($I194,'Privacy Analyst Evaluation'!$A$46:$F$120,6,0),""))&amp;""</f>
        <v/>
      </c>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row>
    <row r="195" spans="1:338" x14ac:dyDescent="0.3">
      <c r="A195" s="209" t="str">
        <f>IFERROR(IF($A194+1&gt;'(backend scoring)'!$T$335,"",$A194+1),"")</f>
        <v/>
      </c>
      <c r="B195" s="209" t="str">
        <f>_xlfn.XLOOKUP($A195,'(backend scoring)'!$V$2:$V$333,'(backend scoring)'!$A$2:$A$333,"")</f>
        <v/>
      </c>
      <c r="C195" s="209" t="str">
        <f>IFERROR(VLOOKUP($B195,'Institution Evaluation'!$A$55:$F$345,2,0),IFERROR(VLOOKUP($B195,'Privacy Analyst Evaluation'!$A$46:$F$120,2,0),""))&amp;""</f>
        <v/>
      </c>
      <c r="D195" s="209" t="str">
        <f>IFERROR(VLOOKUP($B195,'Institution Evaluation'!$A$55:$F$345,3,0),IFERROR(VLOOKUP($B195,'Privacy Analyst Evaluation'!$A$46:$F$120,3,0),""))&amp;""</f>
        <v/>
      </c>
      <c r="E195" s="209" t="str">
        <f>IFERROR(VLOOKUP($B195,'Institution Evaluation'!$A$55:$F$345,4,0),IFERROR(VLOOKUP($B195,'Privacy Analyst Evaluation'!$A$46:$F$120,4,0),""))&amp;""</f>
        <v/>
      </c>
      <c r="F195" s="209" t="str">
        <f>IFERROR(VLOOKUP($B195,'Institution Evaluation'!$A$55:$F$345,6,0),IFERROR(VLOOKUP($B195,'Privacy Analyst Evaluation'!$A$46:$F$120,6,0),""))&amp;""</f>
        <v/>
      </c>
      <c r="G195" s="210"/>
      <c r="H195" s="209" t="str">
        <f>IFERROR(IF($H194+1&gt;'(backend scoring)'!$Q$335,"",$H194+1),"")</f>
        <v/>
      </c>
      <c r="I195" s="209" t="str">
        <f>_xlfn.XLOOKUP($H195,'(backend scoring)'!$S$2:$S$333,'(backend scoring)'!$A$2:$A$333,"")</f>
        <v/>
      </c>
      <c r="J195" s="209" t="str">
        <f>IFERROR(VLOOKUP($I195,'Institution Evaluation'!$A$55:$F$345,2,0),IFERROR(VLOOKUP($I195,'Privacy Analyst Evaluation'!$A$46:$F$120,2,0),""))</f>
        <v/>
      </c>
      <c r="K195" s="209" t="str">
        <f>IFERROR(VLOOKUP($I195,'Institution Evaluation'!$A$55:$F$345,3,0),IFERROR(VLOOKUP($I195,'Privacy Analyst Evaluation'!$A$46:$F$120,3,0),""))&amp;""</f>
        <v/>
      </c>
      <c r="L195" s="209" t="str">
        <f>IFERROR(VLOOKUP($I195,'Institution Evaluation'!$A$55:$F$345,4,0),IFERROR(VLOOKUP($I195,'Privacy Analyst Evaluation'!$A$46:$F$120,4,0),""))&amp;""</f>
        <v/>
      </c>
      <c r="M195" s="209" t="str">
        <f>IFERROR(VLOOKUP($I195,'Institution Evaluation'!$A$55:$F$345,6,0),IFERROR(VLOOKUP($I195,'Privacy Analyst Evaluation'!$A$46:$F$120,6,0),""))&amp;""</f>
        <v/>
      </c>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row>
    <row r="196" spans="1:338" x14ac:dyDescent="0.3">
      <c r="A196" s="209" t="str">
        <f>IFERROR(IF($A195+1&gt;'(backend scoring)'!$T$335,"",$A195+1),"")</f>
        <v/>
      </c>
      <c r="B196" s="209" t="str">
        <f>_xlfn.XLOOKUP($A196,'(backend scoring)'!$V$2:$V$333,'(backend scoring)'!$A$2:$A$333,"")</f>
        <v/>
      </c>
      <c r="C196" s="209" t="str">
        <f>IFERROR(VLOOKUP($B196,'Institution Evaluation'!$A$55:$F$345,2,0),IFERROR(VLOOKUP($B196,'Privacy Analyst Evaluation'!$A$46:$F$120,2,0),""))&amp;""</f>
        <v/>
      </c>
      <c r="D196" s="209" t="str">
        <f>IFERROR(VLOOKUP($B196,'Institution Evaluation'!$A$55:$F$345,3,0),IFERROR(VLOOKUP($B196,'Privacy Analyst Evaluation'!$A$46:$F$120,3,0),""))&amp;""</f>
        <v/>
      </c>
      <c r="E196" s="209" t="str">
        <f>IFERROR(VLOOKUP($B196,'Institution Evaluation'!$A$55:$F$345,4,0),IFERROR(VLOOKUP($B196,'Privacy Analyst Evaluation'!$A$46:$F$120,4,0),""))&amp;""</f>
        <v/>
      </c>
      <c r="F196" s="209" t="str">
        <f>IFERROR(VLOOKUP($B196,'Institution Evaluation'!$A$55:$F$345,6,0),IFERROR(VLOOKUP($B196,'Privacy Analyst Evaluation'!$A$46:$F$120,6,0),""))&amp;""</f>
        <v/>
      </c>
      <c r="G196" s="210"/>
      <c r="H196" s="209" t="str">
        <f>IFERROR(IF($H195+1&gt;'(backend scoring)'!$Q$335,"",$H195+1),"")</f>
        <v/>
      </c>
      <c r="I196" s="209" t="str">
        <f>_xlfn.XLOOKUP($H196,'(backend scoring)'!$S$2:$S$333,'(backend scoring)'!$A$2:$A$333,"")</f>
        <v/>
      </c>
      <c r="J196" s="209" t="str">
        <f>IFERROR(VLOOKUP($I196,'Institution Evaluation'!$A$55:$F$345,2,0),IFERROR(VLOOKUP($I196,'Privacy Analyst Evaluation'!$A$46:$F$120,2,0),""))</f>
        <v/>
      </c>
      <c r="K196" s="209" t="str">
        <f>IFERROR(VLOOKUP($I196,'Institution Evaluation'!$A$55:$F$345,3,0),IFERROR(VLOOKUP($I196,'Privacy Analyst Evaluation'!$A$46:$F$120,3,0),""))&amp;""</f>
        <v/>
      </c>
      <c r="L196" s="209" t="str">
        <f>IFERROR(VLOOKUP($I196,'Institution Evaluation'!$A$55:$F$345,4,0),IFERROR(VLOOKUP($I196,'Privacy Analyst Evaluation'!$A$46:$F$120,4,0),""))&amp;""</f>
        <v/>
      </c>
      <c r="M196" s="209" t="str">
        <f>IFERROR(VLOOKUP($I196,'Institution Evaluation'!$A$55:$F$345,6,0),IFERROR(VLOOKUP($I196,'Privacy Analyst Evaluation'!$A$46:$F$120,6,0),""))&amp;""</f>
        <v/>
      </c>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row>
    <row r="197" spans="1:338" x14ac:dyDescent="0.3">
      <c r="A197" s="209" t="str">
        <f>IFERROR(IF($A196+1&gt;'(backend scoring)'!$T$335,"",$A196+1),"")</f>
        <v/>
      </c>
      <c r="B197" s="209" t="str">
        <f>_xlfn.XLOOKUP($A197,'(backend scoring)'!$V$2:$V$333,'(backend scoring)'!$A$2:$A$333,"")</f>
        <v/>
      </c>
      <c r="C197" s="209" t="str">
        <f>IFERROR(VLOOKUP($B197,'Institution Evaluation'!$A$55:$F$345,2,0),IFERROR(VLOOKUP($B197,'Privacy Analyst Evaluation'!$A$46:$F$120,2,0),""))&amp;""</f>
        <v/>
      </c>
      <c r="D197" s="209" t="str">
        <f>IFERROR(VLOOKUP($B197,'Institution Evaluation'!$A$55:$F$345,3,0),IFERROR(VLOOKUP($B197,'Privacy Analyst Evaluation'!$A$46:$F$120,3,0),""))&amp;""</f>
        <v/>
      </c>
      <c r="E197" s="209" t="str">
        <f>IFERROR(VLOOKUP($B197,'Institution Evaluation'!$A$55:$F$345,4,0),IFERROR(VLOOKUP($B197,'Privacy Analyst Evaluation'!$A$46:$F$120,4,0),""))&amp;""</f>
        <v/>
      </c>
      <c r="F197" s="209" t="str">
        <f>IFERROR(VLOOKUP($B197,'Institution Evaluation'!$A$55:$F$345,6,0),IFERROR(VLOOKUP($B197,'Privacy Analyst Evaluation'!$A$46:$F$120,6,0),""))&amp;""</f>
        <v/>
      </c>
      <c r="G197" s="210"/>
      <c r="H197" s="209" t="str">
        <f>IFERROR(IF($H196+1&gt;'(backend scoring)'!$Q$335,"",$H196+1),"")</f>
        <v/>
      </c>
      <c r="I197" s="209" t="str">
        <f>_xlfn.XLOOKUP($H197,'(backend scoring)'!$S$2:$S$333,'(backend scoring)'!$A$2:$A$333,"")</f>
        <v/>
      </c>
      <c r="J197" s="209" t="str">
        <f>IFERROR(VLOOKUP($I197,'Institution Evaluation'!$A$55:$F$345,2,0),IFERROR(VLOOKUP($I197,'Privacy Analyst Evaluation'!$A$46:$F$120,2,0),""))</f>
        <v/>
      </c>
      <c r="K197" s="209" t="str">
        <f>IFERROR(VLOOKUP($I197,'Institution Evaluation'!$A$55:$F$345,3,0),IFERROR(VLOOKUP($I197,'Privacy Analyst Evaluation'!$A$46:$F$120,3,0),""))&amp;""</f>
        <v/>
      </c>
      <c r="L197" s="209" t="str">
        <f>IFERROR(VLOOKUP($I197,'Institution Evaluation'!$A$55:$F$345,4,0),IFERROR(VLOOKUP($I197,'Privacy Analyst Evaluation'!$A$46:$F$120,4,0),""))&amp;""</f>
        <v/>
      </c>
      <c r="M197" s="209" t="str">
        <f>IFERROR(VLOOKUP($I197,'Institution Evaluation'!$A$55:$F$345,6,0),IFERROR(VLOOKUP($I197,'Privacy Analyst Evaluation'!$A$46:$F$120,6,0),""))&amp;""</f>
        <v/>
      </c>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row>
    <row r="198" spans="1:338" x14ac:dyDescent="0.3">
      <c r="A198" s="209" t="str">
        <f>IFERROR(IF($A197+1&gt;'(backend scoring)'!$T$335,"",$A197+1),"")</f>
        <v/>
      </c>
      <c r="B198" s="209" t="str">
        <f>_xlfn.XLOOKUP($A198,'(backend scoring)'!$V$2:$V$333,'(backend scoring)'!$A$2:$A$333,"")</f>
        <v/>
      </c>
      <c r="C198" s="209" t="str">
        <f>IFERROR(VLOOKUP($B198,'Institution Evaluation'!$A$55:$F$345,2,0),IFERROR(VLOOKUP($B198,'Privacy Analyst Evaluation'!$A$46:$F$120,2,0),""))&amp;""</f>
        <v/>
      </c>
      <c r="D198" s="209" t="str">
        <f>IFERROR(VLOOKUP($B198,'Institution Evaluation'!$A$55:$F$345,3,0),IFERROR(VLOOKUP($B198,'Privacy Analyst Evaluation'!$A$46:$F$120,3,0),""))&amp;""</f>
        <v/>
      </c>
      <c r="E198" s="209" t="str">
        <f>IFERROR(VLOOKUP($B198,'Institution Evaluation'!$A$55:$F$345,4,0),IFERROR(VLOOKUP($B198,'Privacy Analyst Evaluation'!$A$46:$F$120,4,0),""))&amp;""</f>
        <v/>
      </c>
      <c r="F198" s="209" t="str">
        <f>IFERROR(VLOOKUP($B198,'Institution Evaluation'!$A$55:$F$345,6,0),IFERROR(VLOOKUP($B198,'Privacy Analyst Evaluation'!$A$46:$F$120,6,0),""))&amp;""</f>
        <v/>
      </c>
      <c r="G198" s="210"/>
      <c r="H198" s="209" t="str">
        <f>IFERROR(IF($H197+1&gt;'(backend scoring)'!$Q$335,"",$H197+1),"")</f>
        <v/>
      </c>
      <c r="I198" s="209" t="str">
        <f>_xlfn.XLOOKUP($H198,'(backend scoring)'!$S$2:$S$333,'(backend scoring)'!$A$2:$A$333,"")</f>
        <v/>
      </c>
      <c r="J198" s="209" t="str">
        <f>IFERROR(VLOOKUP($I198,'Institution Evaluation'!$A$55:$F$345,2,0),IFERROR(VLOOKUP($I198,'Privacy Analyst Evaluation'!$A$46:$F$120,2,0),""))</f>
        <v/>
      </c>
      <c r="K198" s="209" t="str">
        <f>IFERROR(VLOOKUP($I198,'Institution Evaluation'!$A$55:$F$345,3,0),IFERROR(VLOOKUP($I198,'Privacy Analyst Evaluation'!$A$46:$F$120,3,0),""))&amp;""</f>
        <v/>
      </c>
      <c r="L198" s="209" t="str">
        <f>IFERROR(VLOOKUP($I198,'Institution Evaluation'!$A$55:$F$345,4,0),IFERROR(VLOOKUP($I198,'Privacy Analyst Evaluation'!$A$46:$F$120,4,0),""))&amp;""</f>
        <v/>
      </c>
      <c r="M198" s="209" t="str">
        <f>IFERROR(VLOOKUP($I198,'Institution Evaluation'!$A$55:$F$345,6,0),IFERROR(VLOOKUP($I198,'Privacy Analyst Evaluation'!$A$46:$F$120,6,0),""))&amp;""</f>
        <v/>
      </c>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row>
    <row r="199" spans="1:338" x14ac:dyDescent="0.3">
      <c r="A199" s="209" t="str">
        <f>IFERROR(IF($A198+1&gt;'(backend scoring)'!$T$335,"",$A198+1),"")</f>
        <v/>
      </c>
      <c r="B199" s="209" t="str">
        <f>_xlfn.XLOOKUP($A199,'(backend scoring)'!$V$2:$V$333,'(backend scoring)'!$A$2:$A$333,"")</f>
        <v/>
      </c>
      <c r="C199" s="209" t="str">
        <f>IFERROR(VLOOKUP($B199,'Institution Evaluation'!$A$55:$F$345,2,0),IFERROR(VLOOKUP($B199,'Privacy Analyst Evaluation'!$A$46:$F$120,2,0),""))&amp;""</f>
        <v/>
      </c>
      <c r="D199" s="209" t="str">
        <f>IFERROR(VLOOKUP($B199,'Institution Evaluation'!$A$55:$F$345,3,0),IFERROR(VLOOKUP($B199,'Privacy Analyst Evaluation'!$A$46:$F$120,3,0),""))&amp;""</f>
        <v/>
      </c>
      <c r="E199" s="209" t="str">
        <f>IFERROR(VLOOKUP($B199,'Institution Evaluation'!$A$55:$F$345,4,0),IFERROR(VLOOKUP($B199,'Privacy Analyst Evaluation'!$A$46:$F$120,4,0),""))&amp;""</f>
        <v/>
      </c>
      <c r="F199" s="209" t="str">
        <f>IFERROR(VLOOKUP($B199,'Institution Evaluation'!$A$55:$F$345,6,0),IFERROR(VLOOKUP($B199,'Privacy Analyst Evaluation'!$A$46:$F$120,6,0),""))&amp;""</f>
        <v/>
      </c>
      <c r="G199" s="210"/>
      <c r="H199" s="209" t="str">
        <f>IFERROR(IF($H198+1&gt;'(backend scoring)'!$Q$335,"",$H198+1),"")</f>
        <v/>
      </c>
      <c r="I199" s="209" t="str">
        <f>_xlfn.XLOOKUP($H199,'(backend scoring)'!$S$2:$S$333,'(backend scoring)'!$A$2:$A$333,"")</f>
        <v/>
      </c>
      <c r="J199" s="209" t="str">
        <f>IFERROR(VLOOKUP($I199,'Institution Evaluation'!$A$55:$F$345,2,0),IFERROR(VLOOKUP($I199,'Privacy Analyst Evaluation'!$A$46:$F$120,2,0),""))</f>
        <v/>
      </c>
      <c r="K199" s="209" t="str">
        <f>IFERROR(VLOOKUP($I199,'Institution Evaluation'!$A$55:$F$345,3,0),IFERROR(VLOOKUP($I199,'Privacy Analyst Evaluation'!$A$46:$F$120,3,0),""))&amp;""</f>
        <v/>
      </c>
      <c r="L199" s="209" t="str">
        <f>IFERROR(VLOOKUP($I199,'Institution Evaluation'!$A$55:$F$345,4,0),IFERROR(VLOOKUP($I199,'Privacy Analyst Evaluation'!$A$46:$F$120,4,0),""))&amp;""</f>
        <v/>
      </c>
      <c r="M199" s="209" t="str">
        <f>IFERROR(VLOOKUP($I199,'Institution Evaluation'!$A$55:$F$345,6,0),IFERROR(VLOOKUP($I199,'Privacy Analyst Evaluation'!$A$46:$F$120,6,0),""))&amp;""</f>
        <v/>
      </c>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row>
    <row r="200" spans="1:338" x14ac:dyDescent="0.3">
      <c r="A200" s="209" t="str">
        <f>IFERROR(IF($A199+1&gt;'(backend scoring)'!$T$335,"",$A199+1),"")</f>
        <v/>
      </c>
      <c r="B200" s="209" t="str">
        <f>_xlfn.XLOOKUP($A200,'(backend scoring)'!$V$2:$V$333,'(backend scoring)'!$A$2:$A$333,"")</f>
        <v/>
      </c>
      <c r="C200" s="209" t="str">
        <f>IFERROR(VLOOKUP($B200,'Institution Evaluation'!$A$55:$F$345,2,0),IFERROR(VLOOKUP($B200,'Privacy Analyst Evaluation'!$A$46:$F$120,2,0),""))&amp;""</f>
        <v/>
      </c>
      <c r="D200" s="209" t="str">
        <f>IFERROR(VLOOKUP($B200,'Institution Evaluation'!$A$55:$F$345,3,0),IFERROR(VLOOKUP($B200,'Privacy Analyst Evaluation'!$A$46:$F$120,3,0),""))&amp;""</f>
        <v/>
      </c>
      <c r="E200" s="209" t="str">
        <f>IFERROR(VLOOKUP($B200,'Institution Evaluation'!$A$55:$F$345,4,0),IFERROR(VLOOKUP($B200,'Privacy Analyst Evaluation'!$A$46:$F$120,4,0),""))&amp;""</f>
        <v/>
      </c>
      <c r="F200" s="209" t="str">
        <f>IFERROR(VLOOKUP($B200,'Institution Evaluation'!$A$55:$F$345,6,0),IFERROR(VLOOKUP($B200,'Privacy Analyst Evaluation'!$A$46:$F$120,6,0),""))&amp;""</f>
        <v/>
      </c>
      <c r="G200" s="210"/>
      <c r="H200" s="209" t="str">
        <f>IFERROR(IF($H199+1&gt;'(backend scoring)'!$Q$335,"",$H199+1),"")</f>
        <v/>
      </c>
      <c r="I200" s="209" t="str">
        <f>_xlfn.XLOOKUP($H200,'(backend scoring)'!$S$2:$S$333,'(backend scoring)'!$A$2:$A$333,"")</f>
        <v/>
      </c>
      <c r="J200" s="209" t="str">
        <f>IFERROR(VLOOKUP($I200,'Institution Evaluation'!$A$55:$F$345,2,0),IFERROR(VLOOKUP($I200,'Privacy Analyst Evaluation'!$A$46:$F$120,2,0),""))</f>
        <v/>
      </c>
      <c r="K200" s="209" t="str">
        <f>IFERROR(VLOOKUP($I200,'Institution Evaluation'!$A$55:$F$345,3,0),IFERROR(VLOOKUP($I200,'Privacy Analyst Evaluation'!$A$46:$F$120,3,0),""))&amp;""</f>
        <v/>
      </c>
      <c r="L200" s="209" t="str">
        <f>IFERROR(VLOOKUP($I200,'Institution Evaluation'!$A$55:$F$345,4,0),IFERROR(VLOOKUP($I200,'Privacy Analyst Evaluation'!$A$46:$F$120,4,0),""))&amp;""</f>
        <v/>
      </c>
      <c r="M200" s="209" t="str">
        <f>IFERROR(VLOOKUP($I200,'Institution Evaluation'!$A$55:$F$345,6,0),IFERROR(VLOOKUP($I200,'Privacy Analyst Evaluation'!$A$46:$F$120,6,0),""))&amp;""</f>
        <v/>
      </c>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row>
    <row r="201" spans="1:338" x14ac:dyDescent="0.3">
      <c r="A201" s="209" t="str">
        <f>IFERROR(IF($A200+1&gt;'(backend scoring)'!$T$335,"",$A200+1),"")</f>
        <v/>
      </c>
      <c r="B201" s="209" t="str">
        <f>_xlfn.XLOOKUP($A201,'(backend scoring)'!$V$2:$V$333,'(backend scoring)'!$A$2:$A$333,"")</f>
        <v/>
      </c>
      <c r="C201" s="209" t="str">
        <f>IFERROR(VLOOKUP($B201,'Institution Evaluation'!$A$55:$F$345,2,0),IFERROR(VLOOKUP($B201,'Privacy Analyst Evaluation'!$A$46:$F$120,2,0),""))&amp;""</f>
        <v/>
      </c>
      <c r="D201" s="209" t="str">
        <f>IFERROR(VLOOKUP($B201,'Institution Evaluation'!$A$55:$F$345,3,0),IFERROR(VLOOKUP($B201,'Privacy Analyst Evaluation'!$A$46:$F$120,3,0),""))&amp;""</f>
        <v/>
      </c>
      <c r="E201" s="209" t="str">
        <f>IFERROR(VLOOKUP($B201,'Institution Evaluation'!$A$55:$F$345,4,0),IFERROR(VLOOKUP($B201,'Privacy Analyst Evaluation'!$A$46:$F$120,4,0),""))&amp;""</f>
        <v/>
      </c>
      <c r="F201" s="209" t="str">
        <f>IFERROR(VLOOKUP($B201,'Institution Evaluation'!$A$55:$F$345,6,0),IFERROR(VLOOKUP($B201,'Privacy Analyst Evaluation'!$A$46:$F$120,6,0),""))&amp;""</f>
        <v/>
      </c>
      <c r="G201" s="210"/>
      <c r="H201" s="209" t="str">
        <f>IFERROR(IF($H200+1&gt;'(backend scoring)'!$Q$335,"",$H200+1),"")</f>
        <v/>
      </c>
      <c r="I201" s="209" t="str">
        <f>_xlfn.XLOOKUP($H201,'(backend scoring)'!$S$2:$S$333,'(backend scoring)'!$A$2:$A$333,"")</f>
        <v/>
      </c>
      <c r="J201" s="209" t="str">
        <f>IFERROR(VLOOKUP($I201,'Institution Evaluation'!$A$55:$F$345,2,0),IFERROR(VLOOKUP($I201,'Privacy Analyst Evaluation'!$A$46:$F$120,2,0),""))</f>
        <v/>
      </c>
      <c r="K201" s="209" t="str">
        <f>IFERROR(VLOOKUP($I201,'Institution Evaluation'!$A$55:$F$345,3,0),IFERROR(VLOOKUP($I201,'Privacy Analyst Evaluation'!$A$46:$F$120,3,0),""))&amp;""</f>
        <v/>
      </c>
      <c r="L201" s="209" t="str">
        <f>IFERROR(VLOOKUP($I201,'Institution Evaluation'!$A$55:$F$345,4,0),IFERROR(VLOOKUP($I201,'Privacy Analyst Evaluation'!$A$46:$F$120,4,0),""))&amp;""</f>
        <v/>
      </c>
      <c r="M201" s="209" t="str">
        <f>IFERROR(VLOOKUP($I201,'Institution Evaluation'!$A$55:$F$345,6,0),IFERROR(VLOOKUP($I201,'Privacy Analyst Evaluation'!$A$46:$F$120,6,0),""))&amp;""</f>
        <v/>
      </c>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row>
    <row r="202" spans="1:338" x14ac:dyDescent="0.3">
      <c r="A202" s="209" t="str">
        <f>IFERROR(IF($A201+1&gt;'(backend scoring)'!$T$335,"",$A201+1),"")</f>
        <v/>
      </c>
      <c r="B202" s="209" t="str">
        <f>_xlfn.XLOOKUP($A202,'(backend scoring)'!$V$2:$V$333,'(backend scoring)'!$A$2:$A$333,"")</f>
        <v/>
      </c>
      <c r="C202" s="209" t="str">
        <f>IFERROR(VLOOKUP($B202,'Institution Evaluation'!$A$55:$F$345,2,0),IFERROR(VLOOKUP($B202,'Privacy Analyst Evaluation'!$A$46:$F$120,2,0),""))&amp;""</f>
        <v/>
      </c>
      <c r="D202" s="209" t="str">
        <f>IFERROR(VLOOKUP($B202,'Institution Evaluation'!$A$55:$F$345,3,0),IFERROR(VLOOKUP($B202,'Privacy Analyst Evaluation'!$A$46:$F$120,3,0),""))&amp;""</f>
        <v/>
      </c>
      <c r="E202" s="209" t="str">
        <f>IFERROR(VLOOKUP($B202,'Institution Evaluation'!$A$55:$F$345,4,0),IFERROR(VLOOKUP($B202,'Privacy Analyst Evaluation'!$A$46:$F$120,4,0),""))&amp;""</f>
        <v/>
      </c>
      <c r="F202" s="209" t="str">
        <f>IFERROR(VLOOKUP($B202,'Institution Evaluation'!$A$55:$F$345,6,0),IFERROR(VLOOKUP($B202,'Privacy Analyst Evaluation'!$A$46:$F$120,6,0),""))&amp;""</f>
        <v/>
      </c>
      <c r="G202" s="210"/>
      <c r="H202" s="209" t="str">
        <f>IFERROR(IF($H201+1&gt;'(backend scoring)'!$Q$335,"",$H201+1),"")</f>
        <v/>
      </c>
      <c r="I202" s="209" t="str">
        <f>_xlfn.XLOOKUP($H202,'(backend scoring)'!$S$2:$S$333,'(backend scoring)'!$A$2:$A$333,"")</f>
        <v/>
      </c>
      <c r="J202" s="209" t="str">
        <f>IFERROR(VLOOKUP($I202,'Institution Evaluation'!$A$55:$F$345,2,0),IFERROR(VLOOKUP($I202,'Privacy Analyst Evaluation'!$A$46:$F$120,2,0),""))</f>
        <v/>
      </c>
      <c r="K202" s="209" t="str">
        <f>IFERROR(VLOOKUP($I202,'Institution Evaluation'!$A$55:$F$345,3,0),IFERROR(VLOOKUP($I202,'Privacy Analyst Evaluation'!$A$46:$F$120,3,0),""))&amp;""</f>
        <v/>
      </c>
      <c r="L202" s="209" t="str">
        <f>IFERROR(VLOOKUP($I202,'Institution Evaluation'!$A$55:$F$345,4,0),IFERROR(VLOOKUP($I202,'Privacy Analyst Evaluation'!$A$46:$F$120,4,0),""))&amp;""</f>
        <v/>
      </c>
      <c r="M202" s="209" t="str">
        <f>IFERROR(VLOOKUP($I202,'Institution Evaluation'!$A$55:$F$345,6,0),IFERROR(VLOOKUP($I202,'Privacy Analyst Evaluation'!$A$46:$F$120,6,0),""))&amp;""</f>
        <v/>
      </c>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row>
    <row r="203" spans="1:338" x14ac:dyDescent="0.3">
      <c r="A203" s="209" t="str">
        <f>IFERROR(IF($A202+1&gt;'(backend scoring)'!$T$335,"",$A202+1),"")</f>
        <v/>
      </c>
      <c r="B203" s="209" t="str">
        <f>_xlfn.XLOOKUP($A203,'(backend scoring)'!$V$2:$V$333,'(backend scoring)'!$A$2:$A$333,"")</f>
        <v/>
      </c>
      <c r="C203" s="209" t="str">
        <f>IFERROR(VLOOKUP($B203,'Institution Evaluation'!$A$55:$F$345,2,0),IFERROR(VLOOKUP($B203,'Privacy Analyst Evaluation'!$A$46:$F$120,2,0),""))&amp;""</f>
        <v/>
      </c>
      <c r="D203" s="209" t="str">
        <f>IFERROR(VLOOKUP($B203,'Institution Evaluation'!$A$55:$F$345,3,0),IFERROR(VLOOKUP($B203,'Privacy Analyst Evaluation'!$A$46:$F$120,3,0),""))&amp;""</f>
        <v/>
      </c>
      <c r="E203" s="209" t="str">
        <f>IFERROR(VLOOKUP($B203,'Institution Evaluation'!$A$55:$F$345,4,0),IFERROR(VLOOKUP($B203,'Privacy Analyst Evaluation'!$A$46:$F$120,4,0),""))&amp;""</f>
        <v/>
      </c>
      <c r="F203" s="209" t="str">
        <f>IFERROR(VLOOKUP($B203,'Institution Evaluation'!$A$55:$F$345,6,0),IFERROR(VLOOKUP($B203,'Privacy Analyst Evaluation'!$A$46:$F$120,6,0),""))&amp;""</f>
        <v/>
      </c>
      <c r="G203" s="210"/>
      <c r="H203" s="209" t="str">
        <f>IFERROR(IF($H202+1&gt;'(backend scoring)'!$Q$335,"",$H202+1),"")</f>
        <v/>
      </c>
      <c r="I203" s="209" t="str">
        <f>_xlfn.XLOOKUP($H203,'(backend scoring)'!$S$2:$S$333,'(backend scoring)'!$A$2:$A$333,"")</f>
        <v/>
      </c>
      <c r="J203" s="209" t="str">
        <f>IFERROR(VLOOKUP($I203,'Institution Evaluation'!$A$55:$F$345,2,0),IFERROR(VLOOKUP($I203,'Privacy Analyst Evaluation'!$A$46:$F$120,2,0),""))</f>
        <v/>
      </c>
      <c r="K203" s="209" t="str">
        <f>IFERROR(VLOOKUP($I203,'Institution Evaluation'!$A$55:$F$345,3,0),IFERROR(VLOOKUP($I203,'Privacy Analyst Evaluation'!$A$46:$F$120,3,0),""))&amp;""</f>
        <v/>
      </c>
      <c r="L203" s="209" t="str">
        <f>IFERROR(VLOOKUP($I203,'Institution Evaluation'!$A$55:$F$345,4,0),IFERROR(VLOOKUP($I203,'Privacy Analyst Evaluation'!$A$46:$F$120,4,0),""))&amp;""</f>
        <v/>
      </c>
      <c r="M203" s="209" t="str">
        <f>IFERROR(VLOOKUP($I203,'Institution Evaluation'!$A$55:$F$345,6,0),IFERROR(VLOOKUP($I203,'Privacy Analyst Evaluation'!$A$46:$F$120,6,0),""))&amp;""</f>
        <v/>
      </c>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row>
    <row r="204" spans="1:338" x14ac:dyDescent="0.3">
      <c r="A204" s="209" t="str">
        <f>IFERROR(IF($A203+1&gt;'(backend scoring)'!$T$335,"",$A203+1),"")</f>
        <v/>
      </c>
      <c r="B204" s="209" t="str">
        <f>_xlfn.XLOOKUP($A204,'(backend scoring)'!$V$2:$V$333,'(backend scoring)'!$A$2:$A$333,"")</f>
        <v/>
      </c>
      <c r="C204" s="209" t="str">
        <f>IFERROR(VLOOKUP($B204,'Institution Evaluation'!$A$55:$F$345,2,0),IFERROR(VLOOKUP($B204,'Privacy Analyst Evaluation'!$A$46:$F$120,2,0),""))&amp;""</f>
        <v/>
      </c>
      <c r="D204" s="209" t="str">
        <f>IFERROR(VLOOKUP($B204,'Institution Evaluation'!$A$55:$F$345,3,0),IFERROR(VLOOKUP($B204,'Privacy Analyst Evaluation'!$A$46:$F$120,3,0),""))&amp;""</f>
        <v/>
      </c>
      <c r="E204" s="209" t="str">
        <f>IFERROR(VLOOKUP($B204,'Institution Evaluation'!$A$55:$F$345,4,0),IFERROR(VLOOKUP($B204,'Privacy Analyst Evaluation'!$A$46:$F$120,4,0),""))&amp;""</f>
        <v/>
      </c>
      <c r="F204" s="209" t="str">
        <f>IFERROR(VLOOKUP($B204,'Institution Evaluation'!$A$55:$F$345,6,0),IFERROR(VLOOKUP($B204,'Privacy Analyst Evaluation'!$A$46:$F$120,6,0),""))&amp;""</f>
        <v/>
      </c>
      <c r="G204" s="210"/>
      <c r="H204" s="209" t="str">
        <f>IFERROR(IF($H203+1&gt;'(backend scoring)'!$Q$335,"",$H203+1),"")</f>
        <v/>
      </c>
      <c r="I204" s="209" t="str">
        <f>_xlfn.XLOOKUP($H204,'(backend scoring)'!$S$2:$S$333,'(backend scoring)'!$A$2:$A$333,"")</f>
        <v/>
      </c>
      <c r="J204" s="209" t="str">
        <f>IFERROR(VLOOKUP($I204,'Institution Evaluation'!$A$55:$F$345,2,0),IFERROR(VLOOKUP($I204,'Privacy Analyst Evaluation'!$A$46:$F$120,2,0),""))</f>
        <v/>
      </c>
      <c r="K204" s="209" t="str">
        <f>IFERROR(VLOOKUP($I204,'Institution Evaluation'!$A$55:$F$345,3,0),IFERROR(VLOOKUP($I204,'Privacy Analyst Evaluation'!$A$46:$F$120,3,0),""))&amp;""</f>
        <v/>
      </c>
      <c r="L204" s="209" t="str">
        <f>IFERROR(VLOOKUP($I204,'Institution Evaluation'!$A$55:$F$345,4,0),IFERROR(VLOOKUP($I204,'Privacy Analyst Evaluation'!$A$46:$F$120,4,0),""))&amp;""</f>
        <v/>
      </c>
      <c r="M204" s="209" t="str">
        <f>IFERROR(VLOOKUP($I204,'Institution Evaluation'!$A$55:$F$345,6,0),IFERROR(VLOOKUP($I204,'Privacy Analyst Evaluation'!$A$46:$F$120,6,0),""))&amp;""</f>
        <v/>
      </c>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row>
    <row r="205" spans="1:338" x14ac:dyDescent="0.3">
      <c r="A205" s="209" t="str">
        <f>IFERROR(IF($A204+1&gt;'(backend scoring)'!$T$335,"",$A204+1),"")</f>
        <v/>
      </c>
      <c r="B205" s="209" t="str">
        <f>_xlfn.XLOOKUP($A205,'(backend scoring)'!$V$2:$V$333,'(backend scoring)'!$A$2:$A$333,"")</f>
        <v/>
      </c>
      <c r="C205" s="209" t="str">
        <f>IFERROR(VLOOKUP($B205,'Institution Evaluation'!$A$55:$F$345,2,0),IFERROR(VLOOKUP($B205,'Privacy Analyst Evaluation'!$A$46:$F$120,2,0),""))&amp;""</f>
        <v/>
      </c>
      <c r="D205" s="209" t="str">
        <f>IFERROR(VLOOKUP($B205,'Institution Evaluation'!$A$55:$F$345,3,0),IFERROR(VLOOKUP($B205,'Privacy Analyst Evaluation'!$A$46:$F$120,3,0),""))&amp;""</f>
        <v/>
      </c>
      <c r="E205" s="209" t="str">
        <f>IFERROR(VLOOKUP($B205,'Institution Evaluation'!$A$55:$F$345,4,0),IFERROR(VLOOKUP($B205,'Privacy Analyst Evaluation'!$A$46:$F$120,4,0),""))&amp;""</f>
        <v/>
      </c>
      <c r="F205" s="209" t="str">
        <f>IFERROR(VLOOKUP($B205,'Institution Evaluation'!$A$55:$F$345,6,0),IFERROR(VLOOKUP($B205,'Privacy Analyst Evaluation'!$A$46:$F$120,6,0),""))&amp;""</f>
        <v/>
      </c>
      <c r="G205" s="210"/>
      <c r="H205" s="209" t="str">
        <f>IFERROR(IF($H204+1&gt;'(backend scoring)'!$Q$335,"",$H204+1),"")</f>
        <v/>
      </c>
      <c r="I205" s="209" t="str">
        <f>_xlfn.XLOOKUP($H205,'(backend scoring)'!$S$2:$S$333,'(backend scoring)'!$A$2:$A$333,"")</f>
        <v/>
      </c>
      <c r="J205" s="209" t="str">
        <f>IFERROR(VLOOKUP($I205,'Institution Evaluation'!$A$55:$F$345,2,0),IFERROR(VLOOKUP($I205,'Privacy Analyst Evaluation'!$A$46:$F$120,2,0),""))</f>
        <v/>
      </c>
      <c r="K205" s="209" t="str">
        <f>IFERROR(VLOOKUP($I205,'Institution Evaluation'!$A$55:$F$345,3,0),IFERROR(VLOOKUP($I205,'Privacy Analyst Evaluation'!$A$46:$F$120,3,0),""))&amp;""</f>
        <v/>
      </c>
      <c r="L205" s="209" t="str">
        <f>IFERROR(VLOOKUP($I205,'Institution Evaluation'!$A$55:$F$345,4,0),IFERROR(VLOOKUP($I205,'Privacy Analyst Evaluation'!$A$46:$F$120,4,0),""))&amp;""</f>
        <v/>
      </c>
      <c r="M205" s="209" t="str">
        <f>IFERROR(VLOOKUP($I205,'Institution Evaluation'!$A$55:$F$345,6,0),IFERROR(VLOOKUP($I205,'Privacy Analyst Evaluation'!$A$46:$F$120,6,0),""))&amp;""</f>
        <v/>
      </c>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row>
    <row r="206" spans="1:338" x14ac:dyDescent="0.3">
      <c r="A206" s="209" t="str">
        <f>IFERROR(IF($A205+1&gt;'(backend scoring)'!$T$335,"",$A205+1),"")</f>
        <v/>
      </c>
      <c r="B206" s="209" t="str">
        <f>_xlfn.XLOOKUP($A206,'(backend scoring)'!$V$2:$V$333,'(backend scoring)'!$A$2:$A$333,"")</f>
        <v/>
      </c>
      <c r="C206" s="209" t="str">
        <f>IFERROR(VLOOKUP($B206,'Institution Evaluation'!$A$55:$F$345,2,0),IFERROR(VLOOKUP($B206,'Privacy Analyst Evaluation'!$A$46:$F$120,2,0),""))&amp;""</f>
        <v/>
      </c>
      <c r="D206" s="209" t="str">
        <f>IFERROR(VLOOKUP($B206,'Institution Evaluation'!$A$55:$F$345,3,0),IFERROR(VLOOKUP($B206,'Privacy Analyst Evaluation'!$A$46:$F$120,3,0),""))&amp;""</f>
        <v/>
      </c>
      <c r="E206" s="209" t="str">
        <f>IFERROR(VLOOKUP($B206,'Institution Evaluation'!$A$55:$F$345,4,0),IFERROR(VLOOKUP($B206,'Privacy Analyst Evaluation'!$A$46:$F$120,4,0),""))&amp;""</f>
        <v/>
      </c>
      <c r="F206" s="209" t="str">
        <f>IFERROR(VLOOKUP($B206,'Institution Evaluation'!$A$55:$F$345,6,0),IFERROR(VLOOKUP($B206,'Privacy Analyst Evaluation'!$A$46:$F$120,6,0),""))&amp;""</f>
        <v/>
      </c>
      <c r="G206" s="210"/>
      <c r="H206" s="209" t="str">
        <f>IFERROR(IF($H205+1&gt;'(backend scoring)'!$Q$335,"",$H205+1),"")</f>
        <v/>
      </c>
      <c r="I206" s="209" t="str">
        <f>_xlfn.XLOOKUP($H206,'(backend scoring)'!$S$2:$S$333,'(backend scoring)'!$A$2:$A$333,"")</f>
        <v/>
      </c>
      <c r="J206" s="209" t="str">
        <f>IFERROR(VLOOKUP($I206,'Institution Evaluation'!$A$55:$F$345,2,0),IFERROR(VLOOKUP($I206,'Privacy Analyst Evaluation'!$A$46:$F$120,2,0),""))</f>
        <v/>
      </c>
      <c r="K206" s="209" t="str">
        <f>IFERROR(VLOOKUP($I206,'Institution Evaluation'!$A$55:$F$345,3,0),IFERROR(VLOOKUP($I206,'Privacy Analyst Evaluation'!$A$46:$F$120,3,0),""))&amp;""</f>
        <v/>
      </c>
      <c r="L206" s="209" t="str">
        <f>IFERROR(VLOOKUP($I206,'Institution Evaluation'!$A$55:$F$345,4,0),IFERROR(VLOOKUP($I206,'Privacy Analyst Evaluation'!$A$46:$F$120,4,0),""))&amp;""</f>
        <v/>
      </c>
      <c r="M206" s="209" t="str">
        <f>IFERROR(VLOOKUP($I206,'Institution Evaluation'!$A$55:$F$345,6,0),IFERROR(VLOOKUP($I206,'Privacy Analyst Evaluation'!$A$46:$F$120,6,0),""))&amp;""</f>
        <v/>
      </c>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row>
    <row r="207" spans="1:338" x14ac:dyDescent="0.3">
      <c r="A207" s="209" t="str">
        <f>IFERROR(IF($A206+1&gt;'(backend scoring)'!$T$335,"",$A206+1),"")</f>
        <v/>
      </c>
      <c r="B207" s="209" t="str">
        <f>_xlfn.XLOOKUP($A207,'(backend scoring)'!$V$2:$V$333,'(backend scoring)'!$A$2:$A$333,"")</f>
        <v/>
      </c>
      <c r="C207" s="209" t="str">
        <f>IFERROR(VLOOKUP($B207,'Institution Evaluation'!$A$55:$F$345,2,0),IFERROR(VLOOKUP($B207,'Privacy Analyst Evaluation'!$A$46:$F$120,2,0),""))&amp;""</f>
        <v/>
      </c>
      <c r="D207" s="209" t="str">
        <f>IFERROR(VLOOKUP($B207,'Institution Evaluation'!$A$55:$F$345,3,0),IFERROR(VLOOKUP($B207,'Privacy Analyst Evaluation'!$A$46:$F$120,3,0),""))&amp;""</f>
        <v/>
      </c>
      <c r="E207" s="209" t="str">
        <f>IFERROR(VLOOKUP($B207,'Institution Evaluation'!$A$55:$F$345,4,0),IFERROR(VLOOKUP($B207,'Privacy Analyst Evaluation'!$A$46:$F$120,4,0),""))&amp;""</f>
        <v/>
      </c>
      <c r="F207" s="209" t="str">
        <f>IFERROR(VLOOKUP($B207,'Institution Evaluation'!$A$55:$F$345,6,0),IFERROR(VLOOKUP($B207,'Privacy Analyst Evaluation'!$A$46:$F$120,6,0),""))&amp;""</f>
        <v/>
      </c>
      <c r="G207" s="210"/>
      <c r="H207" s="209" t="str">
        <f>IFERROR(IF($H206+1&gt;'(backend scoring)'!$Q$335,"",$H206+1),"")</f>
        <v/>
      </c>
      <c r="I207" s="209" t="str">
        <f>_xlfn.XLOOKUP($H207,'(backend scoring)'!$S$2:$S$333,'(backend scoring)'!$A$2:$A$333,"")</f>
        <v/>
      </c>
      <c r="J207" s="209" t="str">
        <f>IFERROR(VLOOKUP($I207,'Institution Evaluation'!$A$55:$F$345,2,0),IFERROR(VLOOKUP($I207,'Privacy Analyst Evaluation'!$A$46:$F$120,2,0),""))</f>
        <v/>
      </c>
      <c r="K207" s="209" t="str">
        <f>IFERROR(VLOOKUP($I207,'Institution Evaluation'!$A$55:$F$345,3,0),IFERROR(VLOOKUP($I207,'Privacy Analyst Evaluation'!$A$46:$F$120,3,0),""))&amp;""</f>
        <v/>
      </c>
      <c r="L207" s="209" t="str">
        <f>IFERROR(VLOOKUP($I207,'Institution Evaluation'!$A$55:$F$345,4,0),IFERROR(VLOOKUP($I207,'Privacy Analyst Evaluation'!$A$46:$F$120,4,0),""))&amp;""</f>
        <v/>
      </c>
      <c r="M207" s="209" t="str">
        <f>IFERROR(VLOOKUP($I207,'Institution Evaluation'!$A$55:$F$345,6,0),IFERROR(VLOOKUP($I207,'Privacy Analyst Evaluation'!$A$46:$F$120,6,0),""))&amp;""</f>
        <v/>
      </c>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row>
    <row r="208" spans="1:338" x14ac:dyDescent="0.3">
      <c r="A208" s="209" t="str">
        <f>IFERROR(IF($A207+1&gt;'(backend scoring)'!$T$335,"",$A207+1),"")</f>
        <v/>
      </c>
      <c r="B208" s="209" t="str">
        <f>_xlfn.XLOOKUP($A208,'(backend scoring)'!$V$2:$V$333,'(backend scoring)'!$A$2:$A$333,"")</f>
        <v/>
      </c>
      <c r="C208" s="209" t="str">
        <f>IFERROR(VLOOKUP($B208,'Institution Evaluation'!$A$55:$F$345,2,0),IFERROR(VLOOKUP($B208,'Privacy Analyst Evaluation'!$A$46:$F$120,2,0),""))&amp;""</f>
        <v/>
      </c>
      <c r="D208" s="209" t="str">
        <f>IFERROR(VLOOKUP($B208,'Institution Evaluation'!$A$55:$F$345,3,0),IFERROR(VLOOKUP($B208,'Privacy Analyst Evaluation'!$A$46:$F$120,3,0),""))&amp;""</f>
        <v/>
      </c>
      <c r="E208" s="209" t="str">
        <f>IFERROR(VLOOKUP($B208,'Institution Evaluation'!$A$55:$F$345,4,0),IFERROR(VLOOKUP($B208,'Privacy Analyst Evaluation'!$A$46:$F$120,4,0),""))&amp;""</f>
        <v/>
      </c>
      <c r="F208" s="209" t="str">
        <f>IFERROR(VLOOKUP($B208,'Institution Evaluation'!$A$55:$F$345,6,0),IFERROR(VLOOKUP($B208,'Privacy Analyst Evaluation'!$A$46:$F$120,6,0),""))&amp;""</f>
        <v/>
      </c>
      <c r="G208" s="210"/>
      <c r="H208" s="209" t="str">
        <f>IFERROR(IF($H207+1&gt;'(backend scoring)'!$Q$335,"",$H207+1),"")</f>
        <v/>
      </c>
      <c r="I208" s="209" t="str">
        <f>_xlfn.XLOOKUP($H208,'(backend scoring)'!$S$2:$S$333,'(backend scoring)'!$A$2:$A$333,"")</f>
        <v/>
      </c>
      <c r="J208" s="209" t="str">
        <f>IFERROR(VLOOKUP($I208,'Institution Evaluation'!$A$55:$F$345,2,0),IFERROR(VLOOKUP($I208,'Privacy Analyst Evaluation'!$A$46:$F$120,2,0),""))</f>
        <v/>
      </c>
      <c r="K208" s="209" t="str">
        <f>IFERROR(VLOOKUP($I208,'Institution Evaluation'!$A$55:$F$345,3,0),IFERROR(VLOOKUP($I208,'Privacy Analyst Evaluation'!$A$46:$F$120,3,0),""))&amp;""</f>
        <v/>
      </c>
      <c r="L208" s="209" t="str">
        <f>IFERROR(VLOOKUP($I208,'Institution Evaluation'!$A$55:$F$345,4,0),IFERROR(VLOOKUP($I208,'Privacy Analyst Evaluation'!$A$46:$F$120,4,0),""))&amp;""</f>
        <v/>
      </c>
      <c r="M208" s="209" t="str">
        <f>IFERROR(VLOOKUP($I208,'Institution Evaluation'!$A$55:$F$345,6,0),IFERROR(VLOOKUP($I208,'Privacy Analyst Evaluation'!$A$46:$F$120,6,0),""))&amp;""</f>
        <v/>
      </c>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row>
    <row r="209" spans="1:338" x14ac:dyDescent="0.3">
      <c r="A209" s="209" t="str">
        <f>IFERROR(IF($A208+1&gt;'(backend scoring)'!$T$335,"",$A208+1),"")</f>
        <v/>
      </c>
      <c r="B209" s="209" t="str">
        <f>_xlfn.XLOOKUP($A209,'(backend scoring)'!$V$2:$V$333,'(backend scoring)'!$A$2:$A$333,"")</f>
        <v/>
      </c>
      <c r="C209" s="209" t="str">
        <f>IFERROR(VLOOKUP($B209,'Institution Evaluation'!$A$55:$F$345,2,0),IFERROR(VLOOKUP($B209,'Privacy Analyst Evaluation'!$A$46:$F$120,2,0),""))&amp;""</f>
        <v/>
      </c>
      <c r="D209" s="209" t="str">
        <f>IFERROR(VLOOKUP($B209,'Institution Evaluation'!$A$55:$F$345,3,0),IFERROR(VLOOKUP($B209,'Privacy Analyst Evaluation'!$A$46:$F$120,3,0),""))&amp;""</f>
        <v/>
      </c>
      <c r="E209" s="209" t="str">
        <f>IFERROR(VLOOKUP($B209,'Institution Evaluation'!$A$55:$F$345,4,0),IFERROR(VLOOKUP($B209,'Privacy Analyst Evaluation'!$A$46:$F$120,4,0),""))&amp;""</f>
        <v/>
      </c>
      <c r="F209" s="209" t="str">
        <f>IFERROR(VLOOKUP($B209,'Institution Evaluation'!$A$55:$F$345,6,0),IFERROR(VLOOKUP($B209,'Privacy Analyst Evaluation'!$A$46:$F$120,6,0),""))&amp;""</f>
        <v/>
      </c>
      <c r="G209" s="210"/>
      <c r="H209" s="209" t="str">
        <f>IFERROR(IF($H208+1&gt;'(backend scoring)'!$Q$335,"",$H208+1),"")</f>
        <v/>
      </c>
      <c r="I209" s="209" t="str">
        <f>_xlfn.XLOOKUP($H209,'(backend scoring)'!$S$2:$S$333,'(backend scoring)'!$A$2:$A$333,"")</f>
        <v/>
      </c>
      <c r="J209" s="209" t="str">
        <f>IFERROR(VLOOKUP($I209,'Institution Evaluation'!$A$55:$F$345,2,0),IFERROR(VLOOKUP($I209,'Privacy Analyst Evaluation'!$A$46:$F$120,2,0),""))</f>
        <v/>
      </c>
      <c r="K209" s="209" t="str">
        <f>IFERROR(VLOOKUP($I209,'Institution Evaluation'!$A$55:$F$345,3,0),IFERROR(VLOOKUP($I209,'Privacy Analyst Evaluation'!$A$46:$F$120,3,0),""))&amp;""</f>
        <v/>
      </c>
      <c r="L209" s="209" t="str">
        <f>IFERROR(VLOOKUP($I209,'Institution Evaluation'!$A$55:$F$345,4,0),IFERROR(VLOOKUP($I209,'Privacy Analyst Evaluation'!$A$46:$F$120,4,0),""))&amp;""</f>
        <v/>
      </c>
      <c r="M209" s="209" t="str">
        <f>IFERROR(VLOOKUP($I209,'Institution Evaluation'!$A$55:$F$345,6,0),IFERROR(VLOOKUP($I209,'Privacy Analyst Evaluation'!$A$46:$F$120,6,0),""))&amp;""</f>
        <v/>
      </c>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row>
    <row r="210" spans="1:338" x14ac:dyDescent="0.3">
      <c r="A210" s="209" t="str">
        <f>IFERROR(IF($A209+1&gt;'(backend scoring)'!$T$335,"",$A209+1),"")</f>
        <v/>
      </c>
      <c r="B210" s="209" t="str">
        <f>_xlfn.XLOOKUP($A210,'(backend scoring)'!$V$2:$V$333,'(backend scoring)'!$A$2:$A$333,"")</f>
        <v/>
      </c>
      <c r="C210" s="209" t="str">
        <f>IFERROR(VLOOKUP($B210,'Institution Evaluation'!$A$55:$F$345,2,0),IFERROR(VLOOKUP($B210,'Privacy Analyst Evaluation'!$A$46:$F$120,2,0),""))&amp;""</f>
        <v/>
      </c>
      <c r="D210" s="209" t="str">
        <f>IFERROR(VLOOKUP($B210,'Institution Evaluation'!$A$55:$F$345,3,0),IFERROR(VLOOKUP($B210,'Privacy Analyst Evaluation'!$A$46:$F$120,3,0),""))&amp;""</f>
        <v/>
      </c>
      <c r="E210" s="209" t="str">
        <f>IFERROR(VLOOKUP($B210,'Institution Evaluation'!$A$55:$F$345,4,0),IFERROR(VLOOKUP($B210,'Privacy Analyst Evaluation'!$A$46:$F$120,4,0),""))&amp;""</f>
        <v/>
      </c>
      <c r="F210" s="209" t="str">
        <f>IFERROR(VLOOKUP($B210,'Institution Evaluation'!$A$55:$F$345,6,0),IFERROR(VLOOKUP($B210,'Privacy Analyst Evaluation'!$A$46:$F$120,6,0),""))&amp;""</f>
        <v/>
      </c>
      <c r="G210" s="210"/>
      <c r="H210" s="209" t="str">
        <f>IFERROR(IF($H209+1&gt;'(backend scoring)'!$Q$335,"",$H209+1),"")</f>
        <v/>
      </c>
      <c r="I210" s="209" t="str">
        <f>_xlfn.XLOOKUP($H210,'(backend scoring)'!$S$2:$S$333,'(backend scoring)'!$A$2:$A$333,"")</f>
        <v/>
      </c>
      <c r="J210" s="209" t="str">
        <f>IFERROR(VLOOKUP($I210,'Institution Evaluation'!$A$55:$F$345,2,0),IFERROR(VLOOKUP($I210,'Privacy Analyst Evaluation'!$A$46:$F$120,2,0),""))</f>
        <v/>
      </c>
      <c r="K210" s="209" t="str">
        <f>IFERROR(VLOOKUP($I210,'Institution Evaluation'!$A$55:$F$345,3,0),IFERROR(VLOOKUP($I210,'Privacy Analyst Evaluation'!$A$46:$F$120,3,0),""))&amp;""</f>
        <v/>
      </c>
      <c r="L210" s="209" t="str">
        <f>IFERROR(VLOOKUP($I210,'Institution Evaluation'!$A$55:$F$345,4,0),IFERROR(VLOOKUP($I210,'Privacy Analyst Evaluation'!$A$46:$F$120,4,0),""))&amp;""</f>
        <v/>
      </c>
      <c r="M210" s="209" t="str">
        <f>IFERROR(VLOOKUP($I210,'Institution Evaluation'!$A$55:$F$345,6,0),IFERROR(VLOOKUP($I210,'Privacy Analyst Evaluation'!$A$46:$F$120,6,0),""))&amp;""</f>
        <v/>
      </c>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row>
    <row r="211" spans="1:338" x14ac:dyDescent="0.3">
      <c r="A211" s="209" t="str">
        <f>IFERROR(IF($A210+1&gt;'(backend scoring)'!$T$335,"",$A210+1),"")</f>
        <v/>
      </c>
      <c r="B211" s="209" t="str">
        <f>_xlfn.XLOOKUP($A211,'(backend scoring)'!$V$2:$V$333,'(backend scoring)'!$A$2:$A$333,"")</f>
        <v/>
      </c>
      <c r="C211" s="209" t="str">
        <f>IFERROR(VLOOKUP($B211,'Institution Evaluation'!$A$55:$F$345,2,0),IFERROR(VLOOKUP($B211,'Privacy Analyst Evaluation'!$A$46:$F$120,2,0),""))&amp;""</f>
        <v/>
      </c>
      <c r="D211" s="209" t="str">
        <f>IFERROR(VLOOKUP($B211,'Institution Evaluation'!$A$55:$F$345,3,0),IFERROR(VLOOKUP($B211,'Privacy Analyst Evaluation'!$A$46:$F$120,3,0),""))&amp;""</f>
        <v/>
      </c>
      <c r="E211" s="209" t="str">
        <f>IFERROR(VLOOKUP($B211,'Institution Evaluation'!$A$55:$F$345,4,0),IFERROR(VLOOKUP($B211,'Privacy Analyst Evaluation'!$A$46:$F$120,4,0),""))&amp;""</f>
        <v/>
      </c>
      <c r="F211" s="209" t="str">
        <f>IFERROR(VLOOKUP($B211,'Institution Evaluation'!$A$55:$F$345,6,0),IFERROR(VLOOKUP($B211,'Privacy Analyst Evaluation'!$A$46:$F$120,6,0),""))&amp;""</f>
        <v/>
      </c>
      <c r="G211" s="210"/>
      <c r="H211" s="209" t="str">
        <f>IFERROR(IF($H210+1&gt;'(backend scoring)'!$Q$335,"",$H210+1),"")</f>
        <v/>
      </c>
      <c r="I211" s="209" t="str">
        <f>_xlfn.XLOOKUP($H211,'(backend scoring)'!$S$2:$S$333,'(backend scoring)'!$A$2:$A$333,"")</f>
        <v/>
      </c>
      <c r="J211" s="209" t="str">
        <f>IFERROR(VLOOKUP($I211,'Institution Evaluation'!$A$55:$F$345,2,0),IFERROR(VLOOKUP($I211,'Privacy Analyst Evaluation'!$A$46:$F$120,2,0),""))</f>
        <v/>
      </c>
      <c r="K211" s="209" t="str">
        <f>IFERROR(VLOOKUP($I211,'Institution Evaluation'!$A$55:$F$345,3,0),IFERROR(VLOOKUP($I211,'Privacy Analyst Evaluation'!$A$46:$F$120,3,0),""))&amp;""</f>
        <v/>
      </c>
      <c r="L211" s="209" t="str">
        <f>IFERROR(VLOOKUP($I211,'Institution Evaluation'!$A$55:$F$345,4,0),IFERROR(VLOOKUP($I211,'Privacy Analyst Evaluation'!$A$46:$F$120,4,0),""))&amp;""</f>
        <v/>
      </c>
      <c r="M211" s="209" t="str">
        <f>IFERROR(VLOOKUP($I211,'Institution Evaluation'!$A$55:$F$345,6,0),IFERROR(VLOOKUP($I211,'Privacy Analyst Evaluation'!$A$46:$F$120,6,0),""))&amp;""</f>
        <v/>
      </c>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row>
    <row r="212" spans="1:338" x14ac:dyDescent="0.3">
      <c r="A212" s="209" t="str">
        <f>IFERROR(IF($A211+1&gt;'(backend scoring)'!$T$335,"",$A211+1),"")</f>
        <v/>
      </c>
      <c r="B212" s="209" t="str">
        <f>_xlfn.XLOOKUP($A212,'(backend scoring)'!$V$2:$V$333,'(backend scoring)'!$A$2:$A$333,"")</f>
        <v/>
      </c>
      <c r="C212" s="209" t="str">
        <f>IFERROR(VLOOKUP($B212,'Institution Evaluation'!$A$55:$F$345,2,0),IFERROR(VLOOKUP($B212,'Privacy Analyst Evaluation'!$A$46:$F$120,2,0),""))&amp;""</f>
        <v/>
      </c>
      <c r="D212" s="209" t="str">
        <f>IFERROR(VLOOKUP($B212,'Institution Evaluation'!$A$55:$F$345,3,0),IFERROR(VLOOKUP($B212,'Privacy Analyst Evaluation'!$A$46:$F$120,3,0),""))&amp;""</f>
        <v/>
      </c>
      <c r="E212" s="209" t="str">
        <f>IFERROR(VLOOKUP($B212,'Institution Evaluation'!$A$55:$F$345,4,0),IFERROR(VLOOKUP($B212,'Privacy Analyst Evaluation'!$A$46:$F$120,4,0),""))&amp;""</f>
        <v/>
      </c>
      <c r="F212" s="209" t="str">
        <f>IFERROR(VLOOKUP($B212,'Institution Evaluation'!$A$55:$F$345,6,0),IFERROR(VLOOKUP($B212,'Privacy Analyst Evaluation'!$A$46:$F$120,6,0),""))&amp;""</f>
        <v/>
      </c>
      <c r="G212" s="210"/>
      <c r="H212" s="209" t="str">
        <f>IFERROR(IF($H211+1&gt;'(backend scoring)'!$Q$335,"",$H211+1),"")</f>
        <v/>
      </c>
      <c r="I212" s="209" t="str">
        <f>_xlfn.XLOOKUP($H212,'(backend scoring)'!$S$2:$S$333,'(backend scoring)'!$A$2:$A$333,"")</f>
        <v/>
      </c>
      <c r="J212" s="209" t="str">
        <f>IFERROR(VLOOKUP($I212,'Institution Evaluation'!$A$55:$F$345,2,0),IFERROR(VLOOKUP($I212,'Privacy Analyst Evaluation'!$A$46:$F$120,2,0),""))</f>
        <v/>
      </c>
      <c r="K212" s="209" t="str">
        <f>IFERROR(VLOOKUP($I212,'Institution Evaluation'!$A$55:$F$345,3,0),IFERROR(VLOOKUP($I212,'Privacy Analyst Evaluation'!$A$46:$F$120,3,0),""))&amp;""</f>
        <v/>
      </c>
      <c r="L212" s="209" t="str">
        <f>IFERROR(VLOOKUP($I212,'Institution Evaluation'!$A$55:$F$345,4,0),IFERROR(VLOOKUP($I212,'Privacy Analyst Evaluation'!$A$46:$F$120,4,0),""))&amp;""</f>
        <v/>
      </c>
      <c r="M212" s="209" t="str">
        <f>IFERROR(VLOOKUP($I212,'Institution Evaluation'!$A$55:$F$345,6,0),IFERROR(VLOOKUP($I212,'Privacy Analyst Evaluation'!$A$46:$F$120,6,0),""))&amp;""</f>
        <v/>
      </c>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row>
    <row r="213" spans="1:338" x14ac:dyDescent="0.3">
      <c r="A213" s="209" t="str">
        <f>IFERROR(IF($A212+1&gt;'(backend scoring)'!$T$335,"",$A212+1),"")</f>
        <v/>
      </c>
      <c r="B213" s="209" t="str">
        <f>_xlfn.XLOOKUP($A213,'(backend scoring)'!$V$2:$V$333,'(backend scoring)'!$A$2:$A$333,"")</f>
        <v/>
      </c>
      <c r="C213" s="209" t="str">
        <f>IFERROR(VLOOKUP($B213,'Institution Evaluation'!$A$55:$F$345,2,0),IFERROR(VLOOKUP($B213,'Privacy Analyst Evaluation'!$A$46:$F$120,2,0),""))&amp;""</f>
        <v/>
      </c>
      <c r="D213" s="209" t="str">
        <f>IFERROR(VLOOKUP($B213,'Institution Evaluation'!$A$55:$F$345,3,0),IFERROR(VLOOKUP($B213,'Privacy Analyst Evaluation'!$A$46:$F$120,3,0),""))&amp;""</f>
        <v/>
      </c>
      <c r="E213" s="209" t="str">
        <f>IFERROR(VLOOKUP($B213,'Institution Evaluation'!$A$55:$F$345,4,0),IFERROR(VLOOKUP($B213,'Privacy Analyst Evaluation'!$A$46:$F$120,4,0),""))&amp;""</f>
        <v/>
      </c>
      <c r="F213" s="209" t="str">
        <f>IFERROR(VLOOKUP($B213,'Institution Evaluation'!$A$55:$F$345,6,0),IFERROR(VLOOKUP($B213,'Privacy Analyst Evaluation'!$A$46:$F$120,6,0),""))&amp;""</f>
        <v/>
      </c>
      <c r="G213" s="210"/>
      <c r="H213" s="209" t="str">
        <f>IFERROR(IF($H212+1&gt;'(backend scoring)'!$Q$335,"",$H212+1),"")</f>
        <v/>
      </c>
      <c r="I213" s="209" t="str">
        <f>_xlfn.XLOOKUP($H213,'(backend scoring)'!$S$2:$S$333,'(backend scoring)'!$A$2:$A$333,"")</f>
        <v/>
      </c>
      <c r="J213" s="209" t="str">
        <f>IFERROR(VLOOKUP($I213,'Institution Evaluation'!$A$55:$F$345,2,0),IFERROR(VLOOKUP($I213,'Privacy Analyst Evaluation'!$A$46:$F$120,2,0),""))</f>
        <v/>
      </c>
      <c r="K213" s="209" t="str">
        <f>IFERROR(VLOOKUP($I213,'Institution Evaluation'!$A$55:$F$345,3,0),IFERROR(VLOOKUP($I213,'Privacy Analyst Evaluation'!$A$46:$F$120,3,0),""))&amp;""</f>
        <v/>
      </c>
      <c r="L213" s="209" t="str">
        <f>IFERROR(VLOOKUP($I213,'Institution Evaluation'!$A$55:$F$345,4,0),IFERROR(VLOOKUP($I213,'Privacy Analyst Evaluation'!$A$46:$F$120,4,0),""))&amp;""</f>
        <v/>
      </c>
      <c r="M213" s="209" t="str">
        <f>IFERROR(VLOOKUP($I213,'Institution Evaluation'!$A$55:$F$345,6,0),IFERROR(VLOOKUP($I213,'Privacy Analyst Evaluation'!$A$46:$F$120,6,0),""))&amp;""</f>
        <v/>
      </c>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row>
    <row r="214" spans="1:338" x14ac:dyDescent="0.3">
      <c r="A214" s="209" t="str">
        <f>IFERROR(IF($A213+1&gt;'(backend scoring)'!$T$335,"",$A213+1),"")</f>
        <v/>
      </c>
      <c r="B214" s="209" t="str">
        <f>_xlfn.XLOOKUP($A214,'(backend scoring)'!$V$2:$V$333,'(backend scoring)'!$A$2:$A$333,"")</f>
        <v/>
      </c>
      <c r="C214" s="209" t="str">
        <f>IFERROR(VLOOKUP($B214,'Institution Evaluation'!$A$55:$F$345,2,0),IFERROR(VLOOKUP($B214,'Privacy Analyst Evaluation'!$A$46:$F$120,2,0),""))&amp;""</f>
        <v/>
      </c>
      <c r="D214" s="209" t="str">
        <f>IFERROR(VLOOKUP($B214,'Institution Evaluation'!$A$55:$F$345,3,0),IFERROR(VLOOKUP($B214,'Privacy Analyst Evaluation'!$A$46:$F$120,3,0),""))&amp;""</f>
        <v/>
      </c>
      <c r="E214" s="209" t="str">
        <f>IFERROR(VLOOKUP($B214,'Institution Evaluation'!$A$55:$F$345,4,0),IFERROR(VLOOKUP($B214,'Privacy Analyst Evaluation'!$A$46:$F$120,4,0),""))&amp;""</f>
        <v/>
      </c>
      <c r="F214" s="209" t="str">
        <f>IFERROR(VLOOKUP($B214,'Institution Evaluation'!$A$55:$F$345,6,0),IFERROR(VLOOKUP($B214,'Privacy Analyst Evaluation'!$A$46:$F$120,6,0),""))&amp;""</f>
        <v/>
      </c>
      <c r="G214" s="210"/>
      <c r="H214" s="209" t="str">
        <f>IFERROR(IF($H213+1&gt;'(backend scoring)'!$Q$335,"",$H213+1),"")</f>
        <v/>
      </c>
      <c r="I214" s="209" t="str">
        <f>_xlfn.XLOOKUP($H214,'(backend scoring)'!$S$2:$S$333,'(backend scoring)'!$A$2:$A$333,"")</f>
        <v/>
      </c>
      <c r="J214" s="209" t="str">
        <f>IFERROR(VLOOKUP($I214,'Institution Evaluation'!$A$55:$F$345,2,0),IFERROR(VLOOKUP($I214,'Privacy Analyst Evaluation'!$A$46:$F$120,2,0),""))</f>
        <v/>
      </c>
      <c r="K214" s="209" t="str">
        <f>IFERROR(VLOOKUP($I214,'Institution Evaluation'!$A$55:$F$345,3,0),IFERROR(VLOOKUP($I214,'Privacy Analyst Evaluation'!$A$46:$F$120,3,0),""))&amp;""</f>
        <v/>
      </c>
      <c r="L214" s="209" t="str">
        <f>IFERROR(VLOOKUP($I214,'Institution Evaluation'!$A$55:$F$345,4,0),IFERROR(VLOOKUP($I214,'Privacy Analyst Evaluation'!$A$46:$F$120,4,0),""))&amp;""</f>
        <v/>
      </c>
      <c r="M214" s="209" t="str">
        <f>IFERROR(VLOOKUP($I214,'Institution Evaluation'!$A$55:$F$345,6,0),IFERROR(VLOOKUP($I214,'Privacy Analyst Evaluation'!$A$46:$F$120,6,0),""))&amp;""</f>
        <v/>
      </c>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row>
    <row r="215" spans="1:338" x14ac:dyDescent="0.3">
      <c r="A215" s="209" t="str">
        <f>IFERROR(IF($A214+1&gt;'(backend scoring)'!$T$335,"",$A214+1),"")</f>
        <v/>
      </c>
      <c r="B215" s="209" t="str">
        <f>_xlfn.XLOOKUP($A215,'(backend scoring)'!$V$2:$V$333,'(backend scoring)'!$A$2:$A$333,"")</f>
        <v/>
      </c>
      <c r="C215" s="209" t="str">
        <f>IFERROR(VLOOKUP($B215,'Institution Evaluation'!$A$55:$F$345,2,0),IFERROR(VLOOKUP($B215,'Privacy Analyst Evaluation'!$A$46:$F$120,2,0),""))&amp;""</f>
        <v/>
      </c>
      <c r="D215" s="209" t="str">
        <f>IFERROR(VLOOKUP($B215,'Institution Evaluation'!$A$55:$F$345,3,0),IFERROR(VLOOKUP($B215,'Privacy Analyst Evaluation'!$A$46:$F$120,3,0),""))&amp;""</f>
        <v/>
      </c>
      <c r="E215" s="209" t="str">
        <f>IFERROR(VLOOKUP($B215,'Institution Evaluation'!$A$55:$F$345,4,0),IFERROR(VLOOKUP($B215,'Privacy Analyst Evaluation'!$A$46:$F$120,4,0),""))&amp;""</f>
        <v/>
      </c>
      <c r="F215" s="209" t="str">
        <f>IFERROR(VLOOKUP($B215,'Institution Evaluation'!$A$55:$F$345,6,0),IFERROR(VLOOKUP($B215,'Privacy Analyst Evaluation'!$A$46:$F$120,6,0),""))&amp;""</f>
        <v/>
      </c>
      <c r="G215" s="210"/>
      <c r="H215" s="209" t="str">
        <f>IFERROR(IF($H214+1&gt;'(backend scoring)'!$Q$335,"",$H214+1),"")</f>
        <v/>
      </c>
      <c r="I215" s="209" t="str">
        <f>_xlfn.XLOOKUP($H215,'(backend scoring)'!$S$2:$S$333,'(backend scoring)'!$A$2:$A$333,"")</f>
        <v/>
      </c>
      <c r="J215" s="209" t="str">
        <f>IFERROR(VLOOKUP($I215,'Institution Evaluation'!$A$55:$F$345,2,0),IFERROR(VLOOKUP($I215,'Privacy Analyst Evaluation'!$A$46:$F$120,2,0),""))</f>
        <v/>
      </c>
      <c r="K215" s="209" t="str">
        <f>IFERROR(VLOOKUP($I215,'Institution Evaluation'!$A$55:$F$345,3,0),IFERROR(VLOOKUP($I215,'Privacy Analyst Evaluation'!$A$46:$F$120,3,0),""))&amp;""</f>
        <v/>
      </c>
      <c r="L215" s="209" t="str">
        <f>IFERROR(VLOOKUP($I215,'Institution Evaluation'!$A$55:$F$345,4,0),IFERROR(VLOOKUP($I215,'Privacy Analyst Evaluation'!$A$46:$F$120,4,0),""))&amp;""</f>
        <v/>
      </c>
      <c r="M215" s="209" t="str">
        <f>IFERROR(VLOOKUP($I215,'Institution Evaluation'!$A$55:$F$345,6,0),IFERROR(VLOOKUP($I215,'Privacy Analyst Evaluation'!$A$46:$F$120,6,0),""))&amp;""</f>
        <v/>
      </c>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row>
    <row r="216" spans="1:338" x14ac:dyDescent="0.3">
      <c r="A216" s="209" t="str">
        <f>IFERROR(IF($A215+1&gt;'(backend scoring)'!$T$335,"",$A215+1),"")</f>
        <v/>
      </c>
      <c r="B216" s="209" t="str">
        <f>_xlfn.XLOOKUP($A216,'(backend scoring)'!$V$2:$V$333,'(backend scoring)'!$A$2:$A$333,"")</f>
        <v/>
      </c>
      <c r="C216" s="209" t="str">
        <f>IFERROR(VLOOKUP($B216,'Institution Evaluation'!$A$55:$F$345,2,0),IFERROR(VLOOKUP($B216,'Privacy Analyst Evaluation'!$A$46:$F$120,2,0),""))&amp;""</f>
        <v/>
      </c>
      <c r="D216" s="209" t="str">
        <f>IFERROR(VLOOKUP($B216,'Institution Evaluation'!$A$55:$F$345,3,0),IFERROR(VLOOKUP($B216,'Privacy Analyst Evaluation'!$A$46:$F$120,3,0),""))&amp;""</f>
        <v/>
      </c>
      <c r="E216" s="209" t="str">
        <f>IFERROR(VLOOKUP($B216,'Institution Evaluation'!$A$55:$F$345,4,0),IFERROR(VLOOKUP($B216,'Privacy Analyst Evaluation'!$A$46:$F$120,4,0),""))&amp;""</f>
        <v/>
      </c>
      <c r="F216" s="209" t="str">
        <f>IFERROR(VLOOKUP($B216,'Institution Evaluation'!$A$55:$F$345,6,0),IFERROR(VLOOKUP($B216,'Privacy Analyst Evaluation'!$A$46:$F$120,6,0),""))&amp;""</f>
        <v/>
      </c>
      <c r="G216" s="210"/>
      <c r="H216" s="209" t="str">
        <f>IFERROR(IF($H215+1&gt;'(backend scoring)'!$Q$335,"",$H215+1),"")</f>
        <v/>
      </c>
      <c r="I216" s="209" t="str">
        <f>_xlfn.XLOOKUP($H216,'(backend scoring)'!$S$2:$S$333,'(backend scoring)'!$A$2:$A$333,"")</f>
        <v/>
      </c>
      <c r="J216" s="209" t="str">
        <f>IFERROR(VLOOKUP($I216,'Institution Evaluation'!$A$55:$F$345,2,0),IFERROR(VLOOKUP($I216,'Privacy Analyst Evaluation'!$A$46:$F$120,2,0),""))</f>
        <v/>
      </c>
      <c r="K216" s="209" t="str">
        <f>IFERROR(VLOOKUP($I216,'Institution Evaluation'!$A$55:$F$345,3,0),IFERROR(VLOOKUP($I216,'Privacy Analyst Evaluation'!$A$46:$F$120,3,0),""))&amp;""</f>
        <v/>
      </c>
      <c r="L216" s="209" t="str">
        <f>IFERROR(VLOOKUP($I216,'Institution Evaluation'!$A$55:$F$345,4,0),IFERROR(VLOOKUP($I216,'Privacy Analyst Evaluation'!$A$46:$F$120,4,0),""))&amp;""</f>
        <v/>
      </c>
      <c r="M216" s="209" t="str">
        <f>IFERROR(VLOOKUP($I216,'Institution Evaluation'!$A$55:$F$345,6,0),IFERROR(VLOOKUP($I216,'Privacy Analyst Evaluation'!$A$46:$F$120,6,0),""))&amp;""</f>
        <v/>
      </c>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row>
    <row r="217" spans="1:338" x14ac:dyDescent="0.3">
      <c r="A217" s="209" t="str">
        <f>IFERROR(IF($A216+1&gt;'(backend scoring)'!$T$335,"",$A216+1),"")</f>
        <v/>
      </c>
      <c r="B217" s="209" t="str">
        <f>_xlfn.XLOOKUP($A217,'(backend scoring)'!$V$2:$V$333,'(backend scoring)'!$A$2:$A$333,"")</f>
        <v/>
      </c>
      <c r="C217" s="209" t="str">
        <f>IFERROR(VLOOKUP($B217,'Institution Evaluation'!$A$55:$F$345,2,0),IFERROR(VLOOKUP($B217,'Privacy Analyst Evaluation'!$A$46:$F$120,2,0),""))&amp;""</f>
        <v/>
      </c>
      <c r="D217" s="209" t="str">
        <f>IFERROR(VLOOKUP($B217,'Institution Evaluation'!$A$55:$F$345,3,0),IFERROR(VLOOKUP($B217,'Privacy Analyst Evaluation'!$A$46:$F$120,3,0),""))&amp;""</f>
        <v/>
      </c>
      <c r="E217" s="209" t="str">
        <f>IFERROR(VLOOKUP($B217,'Institution Evaluation'!$A$55:$F$345,4,0),IFERROR(VLOOKUP($B217,'Privacy Analyst Evaluation'!$A$46:$F$120,4,0),""))&amp;""</f>
        <v/>
      </c>
      <c r="F217" s="209" t="str">
        <f>IFERROR(VLOOKUP($B217,'Institution Evaluation'!$A$55:$F$345,6,0),IFERROR(VLOOKUP($B217,'Privacy Analyst Evaluation'!$A$46:$F$120,6,0),""))&amp;""</f>
        <v/>
      </c>
      <c r="G217" s="210"/>
      <c r="H217" s="209" t="str">
        <f>IFERROR(IF($H216+1&gt;'(backend scoring)'!$Q$335,"",$H216+1),"")</f>
        <v/>
      </c>
      <c r="I217" s="209" t="str">
        <f>_xlfn.XLOOKUP($H217,'(backend scoring)'!$S$2:$S$333,'(backend scoring)'!$A$2:$A$333,"")</f>
        <v/>
      </c>
      <c r="J217" s="209" t="str">
        <f>IFERROR(VLOOKUP($I217,'Institution Evaluation'!$A$55:$F$345,2,0),IFERROR(VLOOKUP($I217,'Privacy Analyst Evaluation'!$A$46:$F$120,2,0),""))</f>
        <v/>
      </c>
      <c r="K217" s="209" t="str">
        <f>IFERROR(VLOOKUP($I217,'Institution Evaluation'!$A$55:$F$345,3,0),IFERROR(VLOOKUP($I217,'Privacy Analyst Evaluation'!$A$46:$F$120,3,0),""))&amp;""</f>
        <v/>
      </c>
      <c r="L217" s="209" t="str">
        <f>IFERROR(VLOOKUP($I217,'Institution Evaluation'!$A$55:$F$345,4,0),IFERROR(VLOOKUP($I217,'Privacy Analyst Evaluation'!$A$46:$F$120,4,0),""))&amp;""</f>
        <v/>
      </c>
      <c r="M217" s="209" t="str">
        <f>IFERROR(VLOOKUP($I217,'Institution Evaluation'!$A$55:$F$345,6,0),IFERROR(VLOOKUP($I217,'Privacy Analyst Evaluation'!$A$46:$F$120,6,0),""))&amp;""</f>
        <v/>
      </c>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row>
    <row r="218" spans="1:338" x14ac:dyDescent="0.3">
      <c r="A218" s="209" t="str">
        <f>IFERROR(IF($A217+1&gt;'(backend scoring)'!$T$335,"",$A217+1),"")</f>
        <v/>
      </c>
      <c r="B218" s="209" t="str">
        <f>_xlfn.XLOOKUP($A218,'(backend scoring)'!$V$2:$V$333,'(backend scoring)'!$A$2:$A$333,"")</f>
        <v/>
      </c>
      <c r="C218" s="209" t="str">
        <f>IFERROR(VLOOKUP($B218,'Institution Evaluation'!$A$55:$F$345,2,0),IFERROR(VLOOKUP($B218,'Privacy Analyst Evaluation'!$A$46:$F$120,2,0),""))&amp;""</f>
        <v/>
      </c>
      <c r="D218" s="209" t="str">
        <f>IFERROR(VLOOKUP($B218,'Institution Evaluation'!$A$55:$F$345,3,0),IFERROR(VLOOKUP($B218,'Privacy Analyst Evaluation'!$A$46:$F$120,3,0),""))&amp;""</f>
        <v/>
      </c>
      <c r="E218" s="209" t="str">
        <f>IFERROR(VLOOKUP($B218,'Institution Evaluation'!$A$55:$F$345,4,0),IFERROR(VLOOKUP($B218,'Privacy Analyst Evaluation'!$A$46:$F$120,4,0),""))&amp;""</f>
        <v/>
      </c>
      <c r="F218" s="209" t="str">
        <f>IFERROR(VLOOKUP($B218,'Institution Evaluation'!$A$55:$F$345,6,0),IFERROR(VLOOKUP($B218,'Privacy Analyst Evaluation'!$A$46:$F$120,6,0),""))&amp;""</f>
        <v/>
      </c>
      <c r="G218" s="210"/>
      <c r="H218" s="209" t="str">
        <f>IFERROR(IF($H217+1&gt;'(backend scoring)'!$Q$335,"",$H217+1),"")</f>
        <v/>
      </c>
      <c r="I218" s="209" t="str">
        <f>_xlfn.XLOOKUP($H218,'(backend scoring)'!$S$2:$S$333,'(backend scoring)'!$A$2:$A$333,"")</f>
        <v/>
      </c>
      <c r="J218" s="209" t="str">
        <f>IFERROR(VLOOKUP($I218,'Institution Evaluation'!$A$55:$F$345,2,0),IFERROR(VLOOKUP($I218,'Privacy Analyst Evaluation'!$A$46:$F$120,2,0),""))</f>
        <v/>
      </c>
      <c r="K218" s="209" t="str">
        <f>IFERROR(VLOOKUP($I218,'Institution Evaluation'!$A$55:$F$345,3,0),IFERROR(VLOOKUP($I218,'Privacy Analyst Evaluation'!$A$46:$F$120,3,0),""))&amp;""</f>
        <v/>
      </c>
      <c r="L218" s="209" t="str">
        <f>IFERROR(VLOOKUP($I218,'Institution Evaluation'!$A$55:$F$345,4,0),IFERROR(VLOOKUP($I218,'Privacy Analyst Evaluation'!$A$46:$F$120,4,0),""))&amp;""</f>
        <v/>
      </c>
      <c r="M218" s="209" t="str">
        <f>IFERROR(VLOOKUP($I218,'Institution Evaluation'!$A$55:$F$345,6,0),IFERROR(VLOOKUP($I218,'Privacy Analyst Evaluation'!$A$46:$F$120,6,0),""))&amp;""</f>
        <v/>
      </c>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row>
    <row r="219" spans="1:338" x14ac:dyDescent="0.3">
      <c r="A219" s="209" t="str">
        <f>IFERROR(IF($A218+1&gt;'(backend scoring)'!$T$335,"",$A218+1),"")</f>
        <v/>
      </c>
      <c r="B219" s="209" t="str">
        <f>_xlfn.XLOOKUP($A219,'(backend scoring)'!$V$2:$V$333,'(backend scoring)'!$A$2:$A$333,"")</f>
        <v/>
      </c>
      <c r="C219" s="209" t="str">
        <f>IFERROR(VLOOKUP($B219,'Institution Evaluation'!$A$55:$F$345,2,0),IFERROR(VLOOKUP($B219,'Privacy Analyst Evaluation'!$A$46:$F$120,2,0),""))&amp;""</f>
        <v/>
      </c>
      <c r="D219" s="209" t="str">
        <f>IFERROR(VLOOKUP($B219,'Institution Evaluation'!$A$55:$F$345,3,0),IFERROR(VLOOKUP($B219,'Privacy Analyst Evaluation'!$A$46:$F$120,3,0),""))&amp;""</f>
        <v/>
      </c>
      <c r="E219" s="209" t="str">
        <f>IFERROR(VLOOKUP($B219,'Institution Evaluation'!$A$55:$F$345,4,0),IFERROR(VLOOKUP($B219,'Privacy Analyst Evaluation'!$A$46:$F$120,4,0),""))&amp;""</f>
        <v/>
      </c>
      <c r="F219" s="209" t="str">
        <f>IFERROR(VLOOKUP($B219,'Institution Evaluation'!$A$55:$F$345,6,0),IFERROR(VLOOKUP($B219,'Privacy Analyst Evaluation'!$A$46:$F$120,6,0),""))&amp;""</f>
        <v/>
      </c>
      <c r="G219" s="210"/>
      <c r="H219" s="209" t="str">
        <f>IFERROR(IF($H218+1&gt;'(backend scoring)'!$Q$335,"",$H218+1),"")</f>
        <v/>
      </c>
      <c r="I219" s="209" t="str">
        <f>_xlfn.XLOOKUP($H219,'(backend scoring)'!$S$2:$S$333,'(backend scoring)'!$A$2:$A$333,"")</f>
        <v/>
      </c>
      <c r="J219" s="209" t="str">
        <f>IFERROR(VLOOKUP($I219,'Institution Evaluation'!$A$55:$F$345,2,0),IFERROR(VLOOKUP($I219,'Privacy Analyst Evaluation'!$A$46:$F$120,2,0),""))</f>
        <v/>
      </c>
      <c r="K219" s="209" t="str">
        <f>IFERROR(VLOOKUP($I219,'Institution Evaluation'!$A$55:$F$345,3,0),IFERROR(VLOOKUP($I219,'Privacy Analyst Evaluation'!$A$46:$F$120,3,0),""))&amp;""</f>
        <v/>
      </c>
      <c r="L219" s="209" t="str">
        <f>IFERROR(VLOOKUP($I219,'Institution Evaluation'!$A$55:$F$345,4,0),IFERROR(VLOOKUP($I219,'Privacy Analyst Evaluation'!$A$46:$F$120,4,0),""))&amp;""</f>
        <v/>
      </c>
      <c r="M219" s="209" t="str">
        <f>IFERROR(VLOOKUP($I219,'Institution Evaluation'!$A$55:$F$345,6,0),IFERROR(VLOOKUP($I219,'Privacy Analyst Evaluation'!$A$46:$F$120,6,0),""))&amp;""</f>
        <v/>
      </c>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row>
    <row r="220" spans="1:338" x14ac:dyDescent="0.3">
      <c r="A220" s="209" t="str">
        <f>IFERROR(IF($A219+1&gt;'(backend scoring)'!$T$335,"",$A219+1),"")</f>
        <v/>
      </c>
      <c r="B220" s="209" t="str">
        <f>_xlfn.XLOOKUP($A220,'(backend scoring)'!$V$2:$V$333,'(backend scoring)'!$A$2:$A$333,"")</f>
        <v/>
      </c>
      <c r="C220" s="209" t="str">
        <f>IFERROR(VLOOKUP($B220,'Institution Evaluation'!$A$55:$F$345,2,0),IFERROR(VLOOKUP($B220,'Privacy Analyst Evaluation'!$A$46:$F$120,2,0),""))&amp;""</f>
        <v/>
      </c>
      <c r="D220" s="209" t="str">
        <f>IFERROR(VLOOKUP($B220,'Institution Evaluation'!$A$55:$F$345,3,0),IFERROR(VLOOKUP($B220,'Privacy Analyst Evaluation'!$A$46:$F$120,3,0),""))&amp;""</f>
        <v/>
      </c>
      <c r="E220" s="209" t="str">
        <f>IFERROR(VLOOKUP($B220,'Institution Evaluation'!$A$55:$F$345,4,0),IFERROR(VLOOKUP($B220,'Privacy Analyst Evaluation'!$A$46:$F$120,4,0),""))&amp;""</f>
        <v/>
      </c>
      <c r="F220" s="209" t="str">
        <f>IFERROR(VLOOKUP($B220,'Institution Evaluation'!$A$55:$F$345,6,0),IFERROR(VLOOKUP($B220,'Privacy Analyst Evaluation'!$A$46:$F$120,6,0),""))&amp;""</f>
        <v/>
      </c>
      <c r="G220" s="210"/>
      <c r="H220" s="209" t="str">
        <f>IFERROR(IF($H219+1&gt;'(backend scoring)'!$Q$335,"",$H219+1),"")</f>
        <v/>
      </c>
      <c r="I220" s="209" t="str">
        <f>_xlfn.XLOOKUP($H220,'(backend scoring)'!$S$2:$S$333,'(backend scoring)'!$A$2:$A$333,"")</f>
        <v/>
      </c>
      <c r="J220" s="209" t="str">
        <f>IFERROR(VLOOKUP($I220,'Institution Evaluation'!$A$55:$F$345,2,0),IFERROR(VLOOKUP($I220,'Privacy Analyst Evaluation'!$A$46:$F$120,2,0),""))</f>
        <v/>
      </c>
      <c r="K220" s="209" t="str">
        <f>IFERROR(VLOOKUP($I220,'Institution Evaluation'!$A$55:$F$345,3,0),IFERROR(VLOOKUP($I220,'Privacy Analyst Evaluation'!$A$46:$F$120,3,0),""))&amp;""</f>
        <v/>
      </c>
      <c r="L220" s="209" t="str">
        <f>IFERROR(VLOOKUP($I220,'Institution Evaluation'!$A$55:$F$345,4,0),IFERROR(VLOOKUP($I220,'Privacy Analyst Evaluation'!$A$46:$F$120,4,0),""))&amp;""</f>
        <v/>
      </c>
      <c r="M220" s="209" t="str">
        <f>IFERROR(VLOOKUP($I220,'Institution Evaluation'!$A$55:$F$345,6,0),IFERROR(VLOOKUP($I220,'Privacy Analyst Evaluation'!$A$46:$F$120,6,0),""))&amp;""</f>
        <v/>
      </c>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row>
    <row r="221" spans="1:338" x14ac:dyDescent="0.3">
      <c r="A221" s="209" t="str">
        <f>IFERROR(IF($A220+1&gt;'(backend scoring)'!$T$335,"",$A220+1),"")</f>
        <v/>
      </c>
      <c r="B221" s="209" t="str">
        <f>_xlfn.XLOOKUP($A221,'(backend scoring)'!$V$2:$V$333,'(backend scoring)'!$A$2:$A$333,"")</f>
        <v/>
      </c>
      <c r="C221" s="209" t="str">
        <f>IFERROR(VLOOKUP($B221,'Institution Evaluation'!$A$55:$F$345,2,0),IFERROR(VLOOKUP($B221,'Privacy Analyst Evaluation'!$A$46:$F$120,2,0),""))&amp;""</f>
        <v/>
      </c>
      <c r="D221" s="209" t="str">
        <f>IFERROR(VLOOKUP($B221,'Institution Evaluation'!$A$55:$F$345,3,0),IFERROR(VLOOKUP($B221,'Privacy Analyst Evaluation'!$A$46:$F$120,3,0),""))&amp;""</f>
        <v/>
      </c>
      <c r="E221" s="209" t="str">
        <f>IFERROR(VLOOKUP($B221,'Institution Evaluation'!$A$55:$F$345,4,0),IFERROR(VLOOKUP($B221,'Privacy Analyst Evaluation'!$A$46:$F$120,4,0),""))&amp;""</f>
        <v/>
      </c>
      <c r="F221" s="209" t="str">
        <f>IFERROR(VLOOKUP($B221,'Institution Evaluation'!$A$55:$F$345,6,0),IFERROR(VLOOKUP($B221,'Privacy Analyst Evaluation'!$A$46:$F$120,6,0),""))&amp;""</f>
        <v/>
      </c>
      <c r="G221" s="210"/>
      <c r="H221" s="209" t="str">
        <f>IFERROR(IF($H220+1&gt;'(backend scoring)'!$Q$335,"",$H220+1),"")</f>
        <v/>
      </c>
      <c r="I221" s="209" t="str">
        <f>_xlfn.XLOOKUP($H221,'(backend scoring)'!$S$2:$S$333,'(backend scoring)'!$A$2:$A$333,"")</f>
        <v/>
      </c>
      <c r="J221" s="209" t="str">
        <f>IFERROR(VLOOKUP($I221,'Institution Evaluation'!$A$55:$F$345,2,0),IFERROR(VLOOKUP($I221,'Privacy Analyst Evaluation'!$A$46:$F$120,2,0),""))</f>
        <v/>
      </c>
      <c r="K221" s="209" t="str">
        <f>IFERROR(VLOOKUP($I221,'Institution Evaluation'!$A$55:$F$345,3,0),IFERROR(VLOOKUP($I221,'Privacy Analyst Evaluation'!$A$46:$F$120,3,0),""))&amp;""</f>
        <v/>
      </c>
      <c r="L221" s="209" t="str">
        <f>IFERROR(VLOOKUP($I221,'Institution Evaluation'!$A$55:$F$345,4,0),IFERROR(VLOOKUP($I221,'Privacy Analyst Evaluation'!$A$46:$F$120,4,0),""))&amp;""</f>
        <v/>
      </c>
      <c r="M221" s="209" t="str">
        <f>IFERROR(VLOOKUP($I221,'Institution Evaluation'!$A$55:$F$345,6,0),IFERROR(VLOOKUP($I221,'Privacy Analyst Evaluation'!$A$46:$F$120,6,0),""))&amp;""</f>
        <v/>
      </c>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row>
    <row r="222" spans="1:338" x14ac:dyDescent="0.3">
      <c r="A222" s="209" t="str">
        <f>IFERROR(IF($A221+1&gt;'(backend scoring)'!$T$335,"",$A221+1),"")</f>
        <v/>
      </c>
      <c r="B222" s="209" t="str">
        <f>_xlfn.XLOOKUP($A222,'(backend scoring)'!$V$2:$V$333,'(backend scoring)'!$A$2:$A$333,"")</f>
        <v/>
      </c>
      <c r="C222" s="209" t="str">
        <f>IFERROR(VLOOKUP($B222,'Institution Evaluation'!$A$55:$F$345,2,0),IFERROR(VLOOKUP($B222,'Privacy Analyst Evaluation'!$A$46:$F$120,2,0),""))&amp;""</f>
        <v/>
      </c>
      <c r="D222" s="209" t="str">
        <f>IFERROR(VLOOKUP($B222,'Institution Evaluation'!$A$55:$F$345,3,0),IFERROR(VLOOKUP($B222,'Privacy Analyst Evaluation'!$A$46:$F$120,3,0),""))&amp;""</f>
        <v/>
      </c>
      <c r="E222" s="209" t="str">
        <f>IFERROR(VLOOKUP($B222,'Institution Evaluation'!$A$55:$F$345,4,0),IFERROR(VLOOKUP($B222,'Privacy Analyst Evaluation'!$A$46:$F$120,4,0),""))&amp;""</f>
        <v/>
      </c>
      <c r="F222" s="209" t="str">
        <f>IFERROR(VLOOKUP($B222,'Institution Evaluation'!$A$55:$F$345,6,0),IFERROR(VLOOKUP($B222,'Privacy Analyst Evaluation'!$A$46:$F$120,6,0),""))&amp;""</f>
        <v/>
      </c>
      <c r="G222" s="210"/>
      <c r="H222" s="209" t="str">
        <f>IFERROR(IF($H221+1&gt;'(backend scoring)'!$Q$335,"",$H221+1),"")</f>
        <v/>
      </c>
      <c r="I222" s="209" t="str">
        <f>_xlfn.XLOOKUP($H222,'(backend scoring)'!$S$2:$S$333,'(backend scoring)'!$A$2:$A$333,"")</f>
        <v/>
      </c>
      <c r="J222" s="209" t="str">
        <f>IFERROR(VLOOKUP($I222,'Institution Evaluation'!$A$55:$F$345,2,0),IFERROR(VLOOKUP($I222,'Privacy Analyst Evaluation'!$A$46:$F$120,2,0),""))</f>
        <v/>
      </c>
      <c r="K222" s="209" t="str">
        <f>IFERROR(VLOOKUP($I222,'Institution Evaluation'!$A$55:$F$345,3,0),IFERROR(VLOOKUP($I222,'Privacy Analyst Evaluation'!$A$46:$F$120,3,0),""))&amp;""</f>
        <v/>
      </c>
      <c r="L222" s="209" t="str">
        <f>IFERROR(VLOOKUP($I222,'Institution Evaluation'!$A$55:$F$345,4,0),IFERROR(VLOOKUP($I222,'Privacy Analyst Evaluation'!$A$46:$F$120,4,0),""))&amp;""</f>
        <v/>
      </c>
      <c r="M222" s="209" t="str">
        <f>IFERROR(VLOOKUP($I222,'Institution Evaluation'!$A$55:$F$345,6,0),IFERROR(VLOOKUP($I222,'Privacy Analyst Evaluation'!$A$46:$F$120,6,0),""))&amp;""</f>
        <v/>
      </c>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row>
    <row r="223" spans="1:338" x14ac:dyDescent="0.3">
      <c r="A223" s="209" t="str">
        <f>IFERROR(IF($A222+1&gt;'(backend scoring)'!$T$335,"",$A222+1),"")</f>
        <v/>
      </c>
      <c r="B223" s="209" t="str">
        <f>_xlfn.XLOOKUP($A223,'(backend scoring)'!$V$2:$V$333,'(backend scoring)'!$A$2:$A$333,"")</f>
        <v/>
      </c>
      <c r="C223" s="209" t="str">
        <f>IFERROR(VLOOKUP($B223,'Institution Evaluation'!$A$55:$F$345,2,0),IFERROR(VLOOKUP($B223,'Privacy Analyst Evaluation'!$A$46:$F$120,2,0),""))&amp;""</f>
        <v/>
      </c>
      <c r="D223" s="209" t="str">
        <f>IFERROR(VLOOKUP($B223,'Institution Evaluation'!$A$55:$F$345,3,0),IFERROR(VLOOKUP($B223,'Privacy Analyst Evaluation'!$A$46:$F$120,3,0),""))&amp;""</f>
        <v/>
      </c>
      <c r="E223" s="209" t="str">
        <f>IFERROR(VLOOKUP($B223,'Institution Evaluation'!$A$55:$F$345,4,0),IFERROR(VLOOKUP($B223,'Privacy Analyst Evaluation'!$A$46:$F$120,4,0),""))&amp;""</f>
        <v/>
      </c>
      <c r="F223" s="209" t="str">
        <f>IFERROR(VLOOKUP($B223,'Institution Evaluation'!$A$55:$F$345,6,0),IFERROR(VLOOKUP($B223,'Privacy Analyst Evaluation'!$A$46:$F$120,6,0),""))&amp;""</f>
        <v/>
      </c>
      <c r="G223" s="210"/>
      <c r="H223" s="209" t="str">
        <f>IFERROR(IF($H222+1&gt;'(backend scoring)'!$Q$335,"",$H222+1),"")</f>
        <v/>
      </c>
      <c r="I223" s="209" t="str">
        <f>_xlfn.XLOOKUP($H223,'(backend scoring)'!$S$2:$S$333,'(backend scoring)'!$A$2:$A$333,"")</f>
        <v/>
      </c>
      <c r="J223" s="209" t="str">
        <f>IFERROR(VLOOKUP($I223,'Institution Evaluation'!$A$55:$F$345,2,0),IFERROR(VLOOKUP($I223,'Privacy Analyst Evaluation'!$A$46:$F$120,2,0),""))</f>
        <v/>
      </c>
      <c r="K223" s="209" t="str">
        <f>IFERROR(VLOOKUP($I223,'Institution Evaluation'!$A$55:$F$345,3,0),IFERROR(VLOOKUP($I223,'Privacy Analyst Evaluation'!$A$46:$F$120,3,0),""))&amp;""</f>
        <v/>
      </c>
      <c r="L223" s="209" t="str">
        <f>IFERROR(VLOOKUP($I223,'Institution Evaluation'!$A$55:$F$345,4,0),IFERROR(VLOOKUP($I223,'Privacy Analyst Evaluation'!$A$46:$F$120,4,0),""))&amp;""</f>
        <v/>
      </c>
      <c r="M223" s="209" t="str">
        <f>IFERROR(VLOOKUP($I223,'Institution Evaluation'!$A$55:$F$345,6,0),IFERROR(VLOOKUP($I223,'Privacy Analyst Evaluation'!$A$46:$F$120,6,0),""))&amp;""</f>
        <v/>
      </c>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row>
    <row r="224" spans="1:338" x14ac:dyDescent="0.3">
      <c r="A224" s="209" t="str">
        <f>IFERROR(IF($A223+1&gt;'(backend scoring)'!$T$335,"",$A223+1),"")</f>
        <v/>
      </c>
      <c r="B224" s="209" t="str">
        <f>_xlfn.XLOOKUP($A224,'(backend scoring)'!$V$2:$V$333,'(backend scoring)'!$A$2:$A$333,"")</f>
        <v/>
      </c>
      <c r="C224" s="209" t="str">
        <f>IFERROR(VLOOKUP($B224,'Institution Evaluation'!$A$55:$F$345,2,0),IFERROR(VLOOKUP($B224,'Privacy Analyst Evaluation'!$A$46:$F$120,2,0),""))&amp;""</f>
        <v/>
      </c>
      <c r="D224" s="209" t="str">
        <f>IFERROR(VLOOKUP($B224,'Institution Evaluation'!$A$55:$F$345,3,0),IFERROR(VLOOKUP($B224,'Privacy Analyst Evaluation'!$A$46:$F$120,3,0),""))&amp;""</f>
        <v/>
      </c>
      <c r="E224" s="209" t="str">
        <f>IFERROR(VLOOKUP($B224,'Institution Evaluation'!$A$55:$F$345,4,0),IFERROR(VLOOKUP($B224,'Privacy Analyst Evaluation'!$A$46:$F$120,4,0),""))&amp;""</f>
        <v/>
      </c>
      <c r="F224" s="209" t="str">
        <f>IFERROR(VLOOKUP($B224,'Institution Evaluation'!$A$55:$F$345,6,0),IFERROR(VLOOKUP($B224,'Privacy Analyst Evaluation'!$A$46:$F$120,6,0),""))&amp;""</f>
        <v/>
      </c>
      <c r="G224" s="210"/>
      <c r="H224" s="209" t="str">
        <f>IFERROR(IF($H223+1&gt;'(backend scoring)'!$Q$335,"",$H223+1),"")</f>
        <v/>
      </c>
      <c r="I224" s="209" t="str">
        <f>_xlfn.XLOOKUP($H224,'(backend scoring)'!$S$2:$S$333,'(backend scoring)'!$A$2:$A$333,"")</f>
        <v/>
      </c>
      <c r="J224" s="209" t="str">
        <f>IFERROR(VLOOKUP($I224,'Institution Evaluation'!$A$55:$F$345,2,0),IFERROR(VLOOKUP($I224,'Privacy Analyst Evaluation'!$A$46:$F$120,2,0),""))</f>
        <v/>
      </c>
      <c r="K224" s="209" t="str">
        <f>IFERROR(VLOOKUP($I224,'Institution Evaluation'!$A$55:$F$345,3,0),IFERROR(VLOOKUP($I224,'Privacy Analyst Evaluation'!$A$46:$F$120,3,0),""))&amp;""</f>
        <v/>
      </c>
      <c r="L224" s="209" t="str">
        <f>IFERROR(VLOOKUP($I224,'Institution Evaluation'!$A$55:$F$345,4,0),IFERROR(VLOOKUP($I224,'Privacy Analyst Evaluation'!$A$46:$F$120,4,0),""))&amp;""</f>
        <v/>
      </c>
      <c r="M224" s="209" t="str">
        <f>IFERROR(VLOOKUP($I224,'Institution Evaluation'!$A$55:$F$345,6,0),IFERROR(VLOOKUP($I224,'Privacy Analyst Evaluation'!$A$46:$F$120,6,0),""))&amp;""</f>
        <v/>
      </c>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row>
    <row r="225" spans="1:338" x14ac:dyDescent="0.3">
      <c r="A225" s="209" t="str">
        <f>IFERROR(IF($A224+1&gt;'(backend scoring)'!$T$335,"",$A224+1),"")</f>
        <v/>
      </c>
      <c r="B225" s="209" t="str">
        <f>_xlfn.XLOOKUP($A225,'(backend scoring)'!$V$2:$V$333,'(backend scoring)'!$A$2:$A$333,"")</f>
        <v/>
      </c>
      <c r="C225" s="209" t="str">
        <f>IFERROR(VLOOKUP($B225,'Institution Evaluation'!$A$55:$F$345,2,0),IFERROR(VLOOKUP($B225,'Privacy Analyst Evaluation'!$A$46:$F$120,2,0),""))&amp;""</f>
        <v/>
      </c>
      <c r="D225" s="209" t="str">
        <f>IFERROR(VLOOKUP($B225,'Institution Evaluation'!$A$55:$F$345,3,0),IFERROR(VLOOKUP($B225,'Privacy Analyst Evaluation'!$A$46:$F$120,3,0),""))&amp;""</f>
        <v/>
      </c>
      <c r="E225" s="209" t="str">
        <f>IFERROR(VLOOKUP($B225,'Institution Evaluation'!$A$55:$F$345,4,0),IFERROR(VLOOKUP($B225,'Privacy Analyst Evaluation'!$A$46:$F$120,4,0),""))&amp;""</f>
        <v/>
      </c>
      <c r="F225" s="209" t="str">
        <f>IFERROR(VLOOKUP($B225,'Institution Evaluation'!$A$55:$F$345,6,0),IFERROR(VLOOKUP($B225,'Privacy Analyst Evaluation'!$A$46:$F$120,6,0),""))&amp;""</f>
        <v/>
      </c>
      <c r="G225" s="210"/>
      <c r="H225" s="209" t="str">
        <f>IFERROR(IF($H224+1&gt;'(backend scoring)'!$Q$335,"",$H224+1),"")</f>
        <v/>
      </c>
      <c r="I225" s="209" t="str">
        <f>_xlfn.XLOOKUP($H225,'(backend scoring)'!$S$2:$S$333,'(backend scoring)'!$A$2:$A$333,"")</f>
        <v/>
      </c>
      <c r="J225" s="209" t="str">
        <f>IFERROR(VLOOKUP($I225,'Institution Evaluation'!$A$55:$F$345,2,0),IFERROR(VLOOKUP($I225,'Privacy Analyst Evaluation'!$A$46:$F$120,2,0),""))</f>
        <v/>
      </c>
      <c r="K225" s="209" t="str">
        <f>IFERROR(VLOOKUP($I225,'Institution Evaluation'!$A$55:$F$345,3,0),IFERROR(VLOOKUP($I225,'Privacy Analyst Evaluation'!$A$46:$F$120,3,0),""))&amp;""</f>
        <v/>
      </c>
      <c r="L225" s="209" t="str">
        <f>IFERROR(VLOOKUP($I225,'Institution Evaluation'!$A$55:$F$345,4,0),IFERROR(VLOOKUP($I225,'Privacy Analyst Evaluation'!$A$46:$F$120,4,0),""))&amp;""</f>
        <v/>
      </c>
      <c r="M225" s="209" t="str">
        <f>IFERROR(VLOOKUP($I225,'Institution Evaluation'!$A$55:$F$345,6,0),IFERROR(VLOOKUP($I225,'Privacy Analyst Evaluation'!$A$46:$F$120,6,0),""))&amp;""</f>
        <v/>
      </c>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row>
    <row r="226" spans="1:338" x14ac:dyDescent="0.3">
      <c r="A226" s="209" t="str">
        <f>IFERROR(IF($A225+1&gt;'(backend scoring)'!$T$335,"",$A225+1),"")</f>
        <v/>
      </c>
      <c r="B226" s="209" t="str">
        <f>_xlfn.XLOOKUP($A226,'(backend scoring)'!$V$2:$V$333,'(backend scoring)'!$A$2:$A$333,"")</f>
        <v/>
      </c>
      <c r="C226" s="209" t="str">
        <f>IFERROR(VLOOKUP($B226,'Institution Evaluation'!$A$55:$F$345,2,0),IFERROR(VLOOKUP($B226,'Privacy Analyst Evaluation'!$A$46:$F$120,2,0),""))&amp;""</f>
        <v/>
      </c>
      <c r="D226" s="209" t="str">
        <f>IFERROR(VLOOKUP($B226,'Institution Evaluation'!$A$55:$F$345,3,0),IFERROR(VLOOKUP($B226,'Privacy Analyst Evaluation'!$A$46:$F$120,3,0),""))&amp;""</f>
        <v/>
      </c>
      <c r="E226" s="209" t="str">
        <f>IFERROR(VLOOKUP($B226,'Institution Evaluation'!$A$55:$F$345,4,0),IFERROR(VLOOKUP($B226,'Privacy Analyst Evaluation'!$A$46:$F$120,4,0),""))&amp;""</f>
        <v/>
      </c>
      <c r="F226" s="209" t="str">
        <f>IFERROR(VLOOKUP($B226,'Institution Evaluation'!$A$55:$F$345,6,0),IFERROR(VLOOKUP($B226,'Privacy Analyst Evaluation'!$A$46:$F$120,6,0),""))&amp;""</f>
        <v/>
      </c>
      <c r="G226" s="210"/>
      <c r="H226" s="209" t="str">
        <f>IFERROR(IF($H225+1&gt;'(backend scoring)'!$Q$335,"",$H225+1),"")</f>
        <v/>
      </c>
      <c r="I226" s="209" t="str">
        <f>_xlfn.XLOOKUP($H226,'(backend scoring)'!$S$2:$S$333,'(backend scoring)'!$A$2:$A$333,"")</f>
        <v/>
      </c>
      <c r="J226" s="209" t="str">
        <f>IFERROR(VLOOKUP($I226,'Institution Evaluation'!$A$55:$F$345,2,0),IFERROR(VLOOKUP($I226,'Privacy Analyst Evaluation'!$A$46:$F$120,2,0),""))</f>
        <v/>
      </c>
      <c r="K226" s="209" t="str">
        <f>IFERROR(VLOOKUP($I226,'Institution Evaluation'!$A$55:$F$345,3,0),IFERROR(VLOOKUP($I226,'Privacy Analyst Evaluation'!$A$46:$F$120,3,0),""))&amp;""</f>
        <v/>
      </c>
      <c r="L226" s="209" t="str">
        <f>IFERROR(VLOOKUP($I226,'Institution Evaluation'!$A$55:$F$345,4,0),IFERROR(VLOOKUP($I226,'Privacy Analyst Evaluation'!$A$46:$F$120,4,0),""))&amp;""</f>
        <v/>
      </c>
      <c r="M226" s="209" t="str">
        <f>IFERROR(VLOOKUP($I226,'Institution Evaluation'!$A$55:$F$345,6,0),IFERROR(VLOOKUP($I226,'Privacy Analyst Evaluation'!$A$46:$F$120,6,0),""))&amp;""</f>
        <v/>
      </c>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row>
    <row r="227" spans="1:338" x14ac:dyDescent="0.3">
      <c r="A227" s="209" t="str">
        <f>IFERROR(IF($A226+1&gt;'(backend scoring)'!$T$335,"",$A226+1),"")</f>
        <v/>
      </c>
      <c r="B227" s="209" t="str">
        <f>_xlfn.XLOOKUP($A227,'(backend scoring)'!$V$2:$V$333,'(backend scoring)'!$A$2:$A$333,"")</f>
        <v/>
      </c>
      <c r="C227" s="209" t="str">
        <f>IFERROR(VLOOKUP($B227,'Institution Evaluation'!$A$55:$F$345,2,0),IFERROR(VLOOKUP($B227,'Privacy Analyst Evaluation'!$A$46:$F$120,2,0),""))&amp;""</f>
        <v/>
      </c>
      <c r="D227" s="209" t="str">
        <f>IFERROR(VLOOKUP($B227,'Institution Evaluation'!$A$55:$F$345,3,0),IFERROR(VLOOKUP($B227,'Privacy Analyst Evaluation'!$A$46:$F$120,3,0),""))&amp;""</f>
        <v/>
      </c>
      <c r="E227" s="209" t="str">
        <f>IFERROR(VLOOKUP($B227,'Institution Evaluation'!$A$55:$F$345,4,0),IFERROR(VLOOKUP($B227,'Privacy Analyst Evaluation'!$A$46:$F$120,4,0),""))&amp;""</f>
        <v/>
      </c>
      <c r="F227" s="209" t="str">
        <f>IFERROR(VLOOKUP($B227,'Institution Evaluation'!$A$55:$F$345,6,0),IFERROR(VLOOKUP($B227,'Privacy Analyst Evaluation'!$A$46:$F$120,6,0),""))&amp;""</f>
        <v/>
      </c>
      <c r="G227" s="210"/>
      <c r="H227" s="209" t="str">
        <f>IFERROR(IF($H226+1&gt;'(backend scoring)'!$Q$335,"",$H226+1),"")</f>
        <v/>
      </c>
      <c r="I227" s="209" t="str">
        <f>_xlfn.XLOOKUP($H227,'(backend scoring)'!$S$2:$S$333,'(backend scoring)'!$A$2:$A$333,"")</f>
        <v/>
      </c>
      <c r="J227" s="209" t="str">
        <f>IFERROR(VLOOKUP($I227,'Institution Evaluation'!$A$55:$F$345,2,0),IFERROR(VLOOKUP($I227,'Privacy Analyst Evaluation'!$A$46:$F$120,2,0),""))</f>
        <v/>
      </c>
      <c r="K227" s="209" t="str">
        <f>IFERROR(VLOOKUP($I227,'Institution Evaluation'!$A$55:$F$345,3,0),IFERROR(VLOOKUP($I227,'Privacy Analyst Evaluation'!$A$46:$F$120,3,0),""))&amp;""</f>
        <v/>
      </c>
      <c r="L227" s="209" t="str">
        <f>IFERROR(VLOOKUP($I227,'Institution Evaluation'!$A$55:$F$345,4,0),IFERROR(VLOOKUP($I227,'Privacy Analyst Evaluation'!$A$46:$F$120,4,0),""))&amp;""</f>
        <v/>
      </c>
      <c r="M227" s="209" t="str">
        <f>IFERROR(VLOOKUP($I227,'Institution Evaluation'!$A$55:$F$345,6,0),IFERROR(VLOOKUP($I227,'Privacy Analyst Evaluation'!$A$46:$F$120,6,0),""))&amp;""</f>
        <v/>
      </c>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row>
    <row r="228" spans="1:338" x14ac:dyDescent="0.3">
      <c r="A228" s="209" t="str">
        <f>IFERROR(IF($A227+1&gt;'(backend scoring)'!$T$335,"",$A227+1),"")</f>
        <v/>
      </c>
      <c r="B228" s="209" t="str">
        <f>_xlfn.XLOOKUP($A228,'(backend scoring)'!$V$2:$V$333,'(backend scoring)'!$A$2:$A$333,"")</f>
        <v/>
      </c>
      <c r="C228" s="209" t="str">
        <f>IFERROR(VLOOKUP($B228,'Institution Evaluation'!$A$55:$F$345,2,0),IFERROR(VLOOKUP($B228,'Privacy Analyst Evaluation'!$A$46:$F$120,2,0),""))&amp;""</f>
        <v/>
      </c>
      <c r="D228" s="209" t="str">
        <f>IFERROR(VLOOKUP($B228,'Institution Evaluation'!$A$55:$F$345,3,0),IFERROR(VLOOKUP($B228,'Privacy Analyst Evaluation'!$A$46:$F$120,3,0),""))&amp;""</f>
        <v/>
      </c>
      <c r="E228" s="209" t="str">
        <f>IFERROR(VLOOKUP($B228,'Institution Evaluation'!$A$55:$F$345,4,0),IFERROR(VLOOKUP($B228,'Privacy Analyst Evaluation'!$A$46:$F$120,4,0),""))&amp;""</f>
        <v/>
      </c>
      <c r="F228" s="209" t="str">
        <f>IFERROR(VLOOKUP($B228,'Institution Evaluation'!$A$55:$F$345,6,0),IFERROR(VLOOKUP($B228,'Privacy Analyst Evaluation'!$A$46:$F$120,6,0),""))&amp;""</f>
        <v/>
      </c>
      <c r="G228" s="210"/>
      <c r="H228" s="209" t="str">
        <f>IFERROR(IF($H227+1&gt;'(backend scoring)'!$Q$335,"",$H227+1),"")</f>
        <v/>
      </c>
      <c r="I228" s="209" t="str">
        <f>_xlfn.XLOOKUP($H228,'(backend scoring)'!$S$2:$S$333,'(backend scoring)'!$A$2:$A$333,"")</f>
        <v/>
      </c>
      <c r="J228" s="209" t="str">
        <f>IFERROR(VLOOKUP($I228,'Institution Evaluation'!$A$55:$F$345,2,0),IFERROR(VLOOKUP($I228,'Privacy Analyst Evaluation'!$A$46:$F$120,2,0),""))</f>
        <v/>
      </c>
      <c r="K228" s="209" t="str">
        <f>IFERROR(VLOOKUP($I228,'Institution Evaluation'!$A$55:$F$345,3,0),IFERROR(VLOOKUP($I228,'Privacy Analyst Evaluation'!$A$46:$F$120,3,0),""))&amp;""</f>
        <v/>
      </c>
      <c r="L228" s="209" t="str">
        <f>IFERROR(VLOOKUP($I228,'Institution Evaluation'!$A$55:$F$345,4,0),IFERROR(VLOOKUP($I228,'Privacy Analyst Evaluation'!$A$46:$F$120,4,0),""))&amp;""</f>
        <v/>
      </c>
      <c r="M228" s="209" t="str">
        <f>IFERROR(VLOOKUP($I228,'Institution Evaluation'!$A$55:$F$345,6,0),IFERROR(VLOOKUP($I228,'Privacy Analyst Evaluation'!$A$46:$F$120,6,0),""))&amp;""</f>
        <v/>
      </c>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row>
    <row r="229" spans="1:338" x14ac:dyDescent="0.3">
      <c r="A229" s="209" t="str">
        <f>IFERROR(IF($A228+1&gt;'(backend scoring)'!$T$335,"",$A228+1),"")</f>
        <v/>
      </c>
      <c r="B229" s="209" t="str">
        <f>_xlfn.XLOOKUP($A229,'(backend scoring)'!$V$2:$V$333,'(backend scoring)'!$A$2:$A$333,"")</f>
        <v/>
      </c>
      <c r="C229" s="209" t="str">
        <f>IFERROR(VLOOKUP($B229,'Institution Evaluation'!$A$55:$F$345,2,0),IFERROR(VLOOKUP($B229,'Privacy Analyst Evaluation'!$A$46:$F$120,2,0),""))&amp;""</f>
        <v/>
      </c>
      <c r="D229" s="209" t="str">
        <f>IFERROR(VLOOKUP($B229,'Institution Evaluation'!$A$55:$F$345,3,0),IFERROR(VLOOKUP($B229,'Privacy Analyst Evaluation'!$A$46:$F$120,3,0),""))&amp;""</f>
        <v/>
      </c>
      <c r="E229" s="209" t="str">
        <f>IFERROR(VLOOKUP($B229,'Institution Evaluation'!$A$55:$F$345,4,0),IFERROR(VLOOKUP($B229,'Privacy Analyst Evaluation'!$A$46:$F$120,4,0),""))&amp;""</f>
        <v/>
      </c>
      <c r="F229" s="209" t="str">
        <f>IFERROR(VLOOKUP($B229,'Institution Evaluation'!$A$55:$F$345,6,0),IFERROR(VLOOKUP($B229,'Privacy Analyst Evaluation'!$A$46:$F$120,6,0),""))&amp;""</f>
        <v/>
      </c>
      <c r="G229" s="210"/>
      <c r="H229" s="209" t="str">
        <f>IFERROR(IF($H228+1&gt;'(backend scoring)'!$Q$335,"",$H228+1),"")</f>
        <v/>
      </c>
      <c r="I229" s="209" t="str">
        <f>_xlfn.XLOOKUP($H229,'(backend scoring)'!$S$2:$S$333,'(backend scoring)'!$A$2:$A$333,"")</f>
        <v/>
      </c>
      <c r="J229" s="209" t="str">
        <f>IFERROR(VLOOKUP($I229,'Institution Evaluation'!$A$55:$F$345,2,0),IFERROR(VLOOKUP($I229,'Privacy Analyst Evaluation'!$A$46:$F$120,2,0),""))</f>
        <v/>
      </c>
      <c r="K229" s="209" t="str">
        <f>IFERROR(VLOOKUP($I229,'Institution Evaluation'!$A$55:$F$345,3,0),IFERROR(VLOOKUP($I229,'Privacy Analyst Evaluation'!$A$46:$F$120,3,0),""))&amp;""</f>
        <v/>
      </c>
      <c r="L229" s="209" t="str">
        <f>IFERROR(VLOOKUP($I229,'Institution Evaluation'!$A$55:$F$345,4,0),IFERROR(VLOOKUP($I229,'Privacy Analyst Evaluation'!$A$46:$F$120,4,0),""))&amp;""</f>
        <v/>
      </c>
      <c r="M229" s="209" t="str">
        <f>IFERROR(VLOOKUP($I229,'Institution Evaluation'!$A$55:$F$345,6,0),IFERROR(VLOOKUP($I229,'Privacy Analyst Evaluation'!$A$46:$F$120,6,0),""))&amp;""</f>
        <v/>
      </c>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row>
    <row r="230" spans="1:338" x14ac:dyDescent="0.3">
      <c r="A230" s="209" t="str">
        <f>IFERROR(IF($A229+1&gt;'(backend scoring)'!$T$335,"",$A229+1),"")</f>
        <v/>
      </c>
      <c r="B230" s="209" t="str">
        <f>_xlfn.XLOOKUP($A230,'(backend scoring)'!$V$2:$V$333,'(backend scoring)'!$A$2:$A$333,"")</f>
        <v/>
      </c>
      <c r="C230" s="209" t="str">
        <f>IFERROR(VLOOKUP($B230,'Institution Evaluation'!$A$55:$F$345,2,0),IFERROR(VLOOKUP($B230,'Privacy Analyst Evaluation'!$A$46:$F$120,2,0),""))&amp;""</f>
        <v/>
      </c>
      <c r="D230" s="209" t="str">
        <f>IFERROR(VLOOKUP($B230,'Institution Evaluation'!$A$55:$F$345,3,0),IFERROR(VLOOKUP($B230,'Privacy Analyst Evaluation'!$A$46:$F$120,3,0),""))&amp;""</f>
        <v/>
      </c>
      <c r="E230" s="209" t="str">
        <f>IFERROR(VLOOKUP($B230,'Institution Evaluation'!$A$55:$F$345,4,0),IFERROR(VLOOKUP($B230,'Privacy Analyst Evaluation'!$A$46:$F$120,4,0),""))&amp;""</f>
        <v/>
      </c>
      <c r="F230" s="209" t="str">
        <f>IFERROR(VLOOKUP($B230,'Institution Evaluation'!$A$55:$F$345,6,0),IFERROR(VLOOKUP($B230,'Privacy Analyst Evaluation'!$A$46:$F$120,6,0),""))&amp;""</f>
        <v/>
      </c>
      <c r="G230" s="210"/>
      <c r="H230" s="209" t="str">
        <f>IFERROR(IF($H229+1&gt;'(backend scoring)'!$Q$335,"",$H229+1),"")</f>
        <v/>
      </c>
      <c r="I230" s="209" t="str">
        <f>_xlfn.XLOOKUP($H230,'(backend scoring)'!$S$2:$S$333,'(backend scoring)'!$A$2:$A$333,"")</f>
        <v/>
      </c>
      <c r="J230" s="209" t="str">
        <f>IFERROR(VLOOKUP($I230,'Institution Evaluation'!$A$55:$F$345,2,0),IFERROR(VLOOKUP($I230,'Privacy Analyst Evaluation'!$A$46:$F$120,2,0),""))</f>
        <v/>
      </c>
      <c r="K230" s="209" t="str">
        <f>IFERROR(VLOOKUP($I230,'Institution Evaluation'!$A$55:$F$345,3,0),IFERROR(VLOOKUP($I230,'Privacy Analyst Evaluation'!$A$46:$F$120,3,0),""))&amp;""</f>
        <v/>
      </c>
      <c r="L230" s="209" t="str">
        <f>IFERROR(VLOOKUP($I230,'Institution Evaluation'!$A$55:$F$345,4,0),IFERROR(VLOOKUP($I230,'Privacy Analyst Evaluation'!$A$46:$F$120,4,0),""))&amp;""</f>
        <v/>
      </c>
      <c r="M230" s="209" t="str">
        <f>IFERROR(VLOOKUP($I230,'Institution Evaluation'!$A$55:$F$345,6,0),IFERROR(VLOOKUP($I230,'Privacy Analyst Evaluation'!$A$46:$F$120,6,0),""))&amp;""</f>
        <v/>
      </c>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row>
    <row r="231" spans="1:338" x14ac:dyDescent="0.3">
      <c r="A231" s="209" t="str">
        <f>IFERROR(IF($A230+1&gt;'(backend scoring)'!$T$335,"",$A230+1),"")</f>
        <v/>
      </c>
      <c r="B231" s="209" t="str">
        <f>_xlfn.XLOOKUP($A231,'(backend scoring)'!$V$2:$V$333,'(backend scoring)'!$A$2:$A$333,"")</f>
        <v/>
      </c>
      <c r="C231" s="209" t="str">
        <f>IFERROR(VLOOKUP($B231,'Institution Evaluation'!$A$55:$F$345,2,0),IFERROR(VLOOKUP($B231,'Privacy Analyst Evaluation'!$A$46:$F$120,2,0),""))&amp;""</f>
        <v/>
      </c>
      <c r="D231" s="209" t="str">
        <f>IFERROR(VLOOKUP($B231,'Institution Evaluation'!$A$55:$F$345,3,0),IFERROR(VLOOKUP($B231,'Privacy Analyst Evaluation'!$A$46:$F$120,3,0),""))&amp;""</f>
        <v/>
      </c>
      <c r="E231" s="209" t="str">
        <f>IFERROR(VLOOKUP($B231,'Institution Evaluation'!$A$55:$F$345,4,0),IFERROR(VLOOKUP($B231,'Privacy Analyst Evaluation'!$A$46:$F$120,4,0),""))&amp;""</f>
        <v/>
      </c>
      <c r="F231" s="209" t="str">
        <f>IFERROR(VLOOKUP($B231,'Institution Evaluation'!$A$55:$F$345,6,0),IFERROR(VLOOKUP($B231,'Privacy Analyst Evaluation'!$A$46:$F$120,6,0),""))&amp;""</f>
        <v/>
      </c>
      <c r="G231" s="210"/>
      <c r="H231" s="209" t="str">
        <f>IFERROR(IF($H230+1&gt;'(backend scoring)'!$Q$335,"",$H230+1),"")</f>
        <v/>
      </c>
      <c r="I231" s="209" t="str">
        <f>_xlfn.XLOOKUP($H231,'(backend scoring)'!$S$2:$S$333,'(backend scoring)'!$A$2:$A$333,"")</f>
        <v/>
      </c>
      <c r="J231" s="209" t="str">
        <f>IFERROR(VLOOKUP($I231,'Institution Evaluation'!$A$55:$F$345,2,0),IFERROR(VLOOKUP($I231,'Privacy Analyst Evaluation'!$A$46:$F$120,2,0),""))</f>
        <v/>
      </c>
      <c r="K231" s="209" t="str">
        <f>IFERROR(VLOOKUP($I231,'Institution Evaluation'!$A$55:$F$345,3,0),IFERROR(VLOOKUP($I231,'Privacy Analyst Evaluation'!$A$46:$F$120,3,0),""))&amp;""</f>
        <v/>
      </c>
      <c r="L231" s="209" t="str">
        <f>IFERROR(VLOOKUP($I231,'Institution Evaluation'!$A$55:$F$345,4,0),IFERROR(VLOOKUP($I231,'Privacy Analyst Evaluation'!$A$46:$F$120,4,0),""))&amp;""</f>
        <v/>
      </c>
      <c r="M231" s="209" t="str">
        <f>IFERROR(VLOOKUP($I231,'Institution Evaluation'!$A$55:$F$345,6,0),IFERROR(VLOOKUP($I231,'Privacy Analyst Evaluation'!$A$46:$F$120,6,0),""))&amp;""</f>
        <v/>
      </c>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row>
    <row r="232" spans="1:338" x14ac:dyDescent="0.3">
      <c r="A232" s="209" t="str">
        <f>IFERROR(IF($A231+1&gt;'(backend scoring)'!$T$335,"",$A231+1),"")</f>
        <v/>
      </c>
      <c r="B232" s="209" t="str">
        <f>_xlfn.XLOOKUP($A232,'(backend scoring)'!$V$2:$V$333,'(backend scoring)'!$A$2:$A$333,"")</f>
        <v/>
      </c>
      <c r="C232" s="209" t="str">
        <f>IFERROR(VLOOKUP($B232,'Institution Evaluation'!$A$55:$F$345,2,0),IFERROR(VLOOKUP($B232,'Privacy Analyst Evaluation'!$A$46:$F$120,2,0),""))&amp;""</f>
        <v/>
      </c>
      <c r="D232" s="209" t="str">
        <f>IFERROR(VLOOKUP($B232,'Institution Evaluation'!$A$55:$F$345,3,0),IFERROR(VLOOKUP($B232,'Privacy Analyst Evaluation'!$A$46:$F$120,3,0),""))&amp;""</f>
        <v/>
      </c>
      <c r="E232" s="209" t="str">
        <f>IFERROR(VLOOKUP($B232,'Institution Evaluation'!$A$55:$F$345,4,0),IFERROR(VLOOKUP($B232,'Privacy Analyst Evaluation'!$A$46:$F$120,4,0),""))&amp;""</f>
        <v/>
      </c>
      <c r="F232" s="209" t="str">
        <f>IFERROR(VLOOKUP($B232,'Institution Evaluation'!$A$55:$F$345,6,0),IFERROR(VLOOKUP($B232,'Privacy Analyst Evaluation'!$A$46:$F$120,6,0),""))&amp;""</f>
        <v/>
      </c>
      <c r="G232" s="210"/>
      <c r="H232" s="209" t="str">
        <f>IFERROR(IF($H231+1&gt;'(backend scoring)'!$Q$335,"",$H231+1),"")</f>
        <v/>
      </c>
      <c r="I232" s="209" t="str">
        <f>_xlfn.XLOOKUP($H232,'(backend scoring)'!$S$2:$S$333,'(backend scoring)'!$A$2:$A$333,"")</f>
        <v/>
      </c>
      <c r="J232" s="209" t="str">
        <f>IFERROR(VLOOKUP($I232,'Institution Evaluation'!$A$55:$F$345,2,0),IFERROR(VLOOKUP($I232,'Privacy Analyst Evaluation'!$A$46:$F$120,2,0),""))</f>
        <v/>
      </c>
      <c r="K232" s="209" t="str">
        <f>IFERROR(VLOOKUP($I232,'Institution Evaluation'!$A$55:$F$345,3,0),IFERROR(VLOOKUP($I232,'Privacy Analyst Evaluation'!$A$46:$F$120,3,0),""))&amp;""</f>
        <v/>
      </c>
      <c r="L232" s="209" t="str">
        <f>IFERROR(VLOOKUP($I232,'Institution Evaluation'!$A$55:$F$345,4,0),IFERROR(VLOOKUP($I232,'Privacy Analyst Evaluation'!$A$46:$F$120,4,0),""))&amp;""</f>
        <v/>
      </c>
      <c r="M232" s="209" t="str">
        <f>IFERROR(VLOOKUP($I232,'Institution Evaluation'!$A$55:$F$345,6,0),IFERROR(VLOOKUP($I232,'Privacy Analyst Evaluation'!$A$46:$F$120,6,0),""))&amp;""</f>
        <v/>
      </c>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row>
    <row r="233" spans="1:338" x14ac:dyDescent="0.3">
      <c r="A233" s="209" t="str">
        <f>IFERROR(IF($A232+1&gt;'(backend scoring)'!$T$335,"",$A232+1),"")</f>
        <v/>
      </c>
      <c r="B233" s="209" t="str">
        <f>_xlfn.XLOOKUP($A233,'(backend scoring)'!$V$2:$V$333,'(backend scoring)'!$A$2:$A$333,"")</f>
        <v/>
      </c>
      <c r="C233" s="209" t="str">
        <f>IFERROR(VLOOKUP($B233,'Institution Evaluation'!$A$55:$F$345,2,0),IFERROR(VLOOKUP($B233,'Privacy Analyst Evaluation'!$A$46:$F$120,2,0),""))&amp;""</f>
        <v/>
      </c>
      <c r="D233" s="209" t="str">
        <f>IFERROR(VLOOKUP($B233,'Institution Evaluation'!$A$55:$F$345,3,0),IFERROR(VLOOKUP($B233,'Privacy Analyst Evaluation'!$A$46:$F$120,3,0),""))&amp;""</f>
        <v/>
      </c>
      <c r="E233" s="209" t="str">
        <f>IFERROR(VLOOKUP($B233,'Institution Evaluation'!$A$55:$F$345,4,0),IFERROR(VLOOKUP($B233,'Privacy Analyst Evaluation'!$A$46:$F$120,4,0),""))&amp;""</f>
        <v/>
      </c>
      <c r="F233" s="209" t="str">
        <f>IFERROR(VLOOKUP($B233,'Institution Evaluation'!$A$55:$F$345,6,0),IFERROR(VLOOKUP($B233,'Privacy Analyst Evaluation'!$A$46:$F$120,6,0),""))&amp;""</f>
        <v/>
      </c>
      <c r="G233" s="210"/>
      <c r="H233" s="209" t="str">
        <f>IFERROR(IF($H232+1&gt;'(backend scoring)'!$Q$335,"",$H232+1),"")</f>
        <v/>
      </c>
      <c r="I233" s="209" t="str">
        <f>_xlfn.XLOOKUP($H233,'(backend scoring)'!$S$2:$S$333,'(backend scoring)'!$A$2:$A$333,"")</f>
        <v/>
      </c>
      <c r="J233" s="209" t="str">
        <f>IFERROR(VLOOKUP($I233,'Institution Evaluation'!$A$55:$F$345,2,0),IFERROR(VLOOKUP($I233,'Privacy Analyst Evaluation'!$A$46:$F$120,2,0),""))</f>
        <v/>
      </c>
      <c r="K233" s="209" t="str">
        <f>IFERROR(VLOOKUP($I233,'Institution Evaluation'!$A$55:$F$345,3,0),IFERROR(VLOOKUP($I233,'Privacy Analyst Evaluation'!$A$46:$F$120,3,0),""))&amp;""</f>
        <v/>
      </c>
      <c r="L233" s="209" t="str">
        <f>IFERROR(VLOOKUP($I233,'Institution Evaluation'!$A$55:$F$345,4,0),IFERROR(VLOOKUP($I233,'Privacy Analyst Evaluation'!$A$46:$F$120,4,0),""))&amp;""</f>
        <v/>
      </c>
      <c r="M233" s="209" t="str">
        <f>IFERROR(VLOOKUP($I233,'Institution Evaluation'!$A$55:$F$345,6,0),IFERROR(VLOOKUP($I233,'Privacy Analyst Evaluation'!$A$46:$F$120,6,0),""))&amp;""</f>
        <v/>
      </c>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row>
    <row r="234" spans="1:338" x14ac:dyDescent="0.3">
      <c r="A234" s="209" t="str">
        <f>IFERROR(IF($A233+1&gt;'(backend scoring)'!$T$335,"",$A233+1),"")</f>
        <v/>
      </c>
      <c r="B234" s="209" t="str">
        <f>_xlfn.XLOOKUP($A234,'(backend scoring)'!$V$2:$V$333,'(backend scoring)'!$A$2:$A$333,"")</f>
        <v/>
      </c>
      <c r="C234" s="209" t="str">
        <f>IFERROR(VLOOKUP($B234,'Institution Evaluation'!$A$55:$F$345,2,0),IFERROR(VLOOKUP($B234,'Privacy Analyst Evaluation'!$A$46:$F$120,2,0),""))&amp;""</f>
        <v/>
      </c>
      <c r="D234" s="209" t="str">
        <f>IFERROR(VLOOKUP($B234,'Institution Evaluation'!$A$55:$F$345,3,0),IFERROR(VLOOKUP($B234,'Privacy Analyst Evaluation'!$A$46:$F$120,3,0),""))&amp;""</f>
        <v/>
      </c>
      <c r="E234" s="209" t="str">
        <f>IFERROR(VLOOKUP($B234,'Institution Evaluation'!$A$55:$F$345,4,0),IFERROR(VLOOKUP($B234,'Privacy Analyst Evaluation'!$A$46:$F$120,4,0),""))&amp;""</f>
        <v/>
      </c>
      <c r="F234" s="209" t="str">
        <f>IFERROR(VLOOKUP($B234,'Institution Evaluation'!$A$55:$F$345,6,0),IFERROR(VLOOKUP($B234,'Privacy Analyst Evaluation'!$A$46:$F$120,6,0),""))&amp;""</f>
        <v/>
      </c>
      <c r="G234" s="210"/>
      <c r="H234" s="209" t="str">
        <f>IFERROR(IF($H233+1&gt;'(backend scoring)'!$Q$335,"",$H233+1),"")</f>
        <v/>
      </c>
      <c r="I234" s="209" t="str">
        <f>_xlfn.XLOOKUP($H234,'(backend scoring)'!$S$2:$S$333,'(backend scoring)'!$A$2:$A$333,"")</f>
        <v/>
      </c>
      <c r="J234" s="209" t="str">
        <f>IFERROR(VLOOKUP($I234,'Institution Evaluation'!$A$55:$F$345,2,0),IFERROR(VLOOKUP($I234,'Privacy Analyst Evaluation'!$A$46:$F$120,2,0),""))</f>
        <v/>
      </c>
      <c r="K234" s="209" t="str">
        <f>IFERROR(VLOOKUP($I234,'Institution Evaluation'!$A$55:$F$345,3,0),IFERROR(VLOOKUP($I234,'Privacy Analyst Evaluation'!$A$46:$F$120,3,0),""))&amp;""</f>
        <v/>
      </c>
      <c r="L234" s="209" t="str">
        <f>IFERROR(VLOOKUP($I234,'Institution Evaluation'!$A$55:$F$345,4,0),IFERROR(VLOOKUP($I234,'Privacy Analyst Evaluation'!$A$46:$F$120,4,0),""))&amp;""</f>
        <v/>
      </c>
      <c r="M234" s="209" t="str">
        <f>IFERROR(VLOOKUP($I234,'Institution Evaluation'!$A$55:$F$345,6,0),IFERROR(VLOOKUP($I234,'Privacy Analyst Evaluation'!$A$46:$F$120,6,0),""))&amp;""</f>
        <v/>
      </c>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row>
    <row r="235" spans="1:338" x14ac:dyDescent="0.3">
      <c r="A235" s="209" t="str">
        <f>IFERROR(IF($A234+1&gt;'(backend scoring)'!$T$335,"",$A234+1),"")</f>
        <v/>
      </c>
      <c r="B235" s="209" t="str">
        <f>_xlfn.XLOOKUP($A235,'(backend scoring)'!$V$2:$V$333,'(backend scoring)'!$A$2:$A$333,"")</f>
        <v/>
      </c>
      <c r="C235" s="209" t="str">
        <f>IFERROR(VLOOKUP($B235,'Institution Evaluation'!$A$55:$F$345,2,0),IFERROR(VLOOKUP($B235,'Privacy Analyst Evaluation'!$A$46:$F$120,2,0),""))&amp;""</f>
        <v/>
      </c>
      <c r="D235" s="209" t="str">
        <f>IFERROR(VLOOKUP($B235,'Institution Evaluation'!$A$55:$F$345,3,0),IFERROR(VLOOKUP($B235,'Privacy Analyst Evaluation'!$A$46:$F$120,3,0),""))&amp;""</f>
        <v/>
      </c>
      <c r="E235" s="209" t="str">
        <f>IFERROR(VLOOKUP($B235,'Institution Evaluation'!$A$55:$F$345,4,0),IFERROR(VLOOKUP($B235,'Privacy Analyst Evaluation'!$A$46:$F$120,4,0),""))&amp;""</f>
        <v/>
      </c>
      <c r="F235" s="209" t="str">
        <f>IFERROR(VLOOKUP($B235,'Institution Evaluation'!$A$55:$F$345,6,0),IFERROR(VLOOKUP($B235,'Privacy Analyst Evaluation'!$A$46:$F$120,6,0),""))&amp;""</f>
        <v/>
      </c>
      <c r="G235" s="210"/>
      <c r="H235" s="209" t="str">
        <f>IFERROR(IF($H234+1&gt;'(backend scoring)'!$Q$335,"",$H234+1),"")</f>
        <v/>
      </c>
      <c r="I235" s="209" t="str">
        <f>_xlfn.XLOOKUP($H235,'(backend scoring)'!$S$2:$S$333,'(backend scoring)'!$A$2:$A$333,"")</f>
        <v/>
      </c>
      <c r="J235" s="209" t="str">
        <f>IFERROR(VLOOKUP($I235,'Institution Evaluation'!$A$55:$F$345,2,0),IFERROR(VLOOKUP($I235,'Privacy Analyst Evaluation'!$A$46:$F$120,2,0),""))</f>
        <v/>
      </c>
      <c r="K235" s="209" t="str">
        <f>IFERROR(VLOOKUP($I235,'Institution Evaluation'!$A$55:$F$345,3,0),IFERROR(VLOOKUP($I235,'Privacy Analyst Evaluation'!$A$46:$F$120,3,0),""))&amp;""</f>
        <v/>
      </c>
      <c r="L235" s="209" t="str">
        <f>IFERROR(VLOOKUP($I235,'Institution Evaluation'!$A$55:$F$345,4,0),IFERROR(VLOOKUP($I235,'Privacy Analyst Evaluation'!$A$46:$F$120,4,0),""))&amp;""</f>
        <v/>
      </c>
      <c r="M235" s="209" t="str">
        <f>IFERROR(VLOOKUP($I235,'Institution Evaluation'!$A$55:$F$345,6,0),IFERROR(VLOOKUP($I235,'Privacy Analyst Evaluation'!$A$46:$F$120,6,0),""))&amp;""</f>
        <v/>
      </c>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row>
    <row r="236" spans="1:338" x14ac:dyDescent="0.3">
      <c r="A236" s="209" t="str">
        <f>IFERROR(IF($A235+1&gt;'(backend scoring)'!$T$335,"",$A235+1),"")</f>
        <v/>
      </c>
      <c r="B236" s="209" t="str">
        <f>_xlfn.XLOOKUP($A236,'(backend scoring)'!$V$2:$V$333,'(backend scoring)'!$A$2:$A$333,"")</f>
        <v/>
      </c>
      <c r="C236" s="209" t="str">
        <f>IFERROR(VLOOKUP($B236,'Institution Evaluation'!$A$55:$F$345,2,0),IFERROR(VLOOKUP($B236,'Privacy Analyst Evaluation'!$A$46:$F$120,2,0),""))&amp;""</f>
        <v/>
      </c>
      <c r="D236" s="209" t="str">
        <f>IFERROR(VLOOKUP($B236,'Institution Evaluation'!$A$55:$F$345,3,0),IFERROR(VLOOKUP($B236,'Privacy Analyst Evaluation'!$A$46:$F$120,3,0),""))&amp;""</f>
        <v/>
      </c>
      <c r="E236" s="209" t="str">
        <f>IFERROR(VLOOKUP($B236,'Institution Evaluation'!$A$55:$F$345,4,0),IFERROR(VLOOKUP($B236,'Privacy Analyst Evaluation'!$A$46:$F$120,4,0),""))&amp;""</f>
        <v/>
      </c>
      <c r="F236" s="209" t="str">
        <f>IFERROR(VLOOKUP($B236,'Institution Evaluation'!$A$55:$F$345,6,0),IFERROR(VLOOKUP($B236,'Privacy Analyst Evaluation'!$A$46:$F$120,6,0),""))&amp;""</f>
        <v/>
      </c>
      <c r="G236" s="210"/>
      <c r="H236" s="209" t="str">
        <f>IFERROR(IF($H235+1&gt;'(backend scoring)'!$Q$335,"",$H235+1),"")</f>
        <v/>
      </c>
      <c r="I236" s="209" t="str">
        <f>_xlfn.XLOOKUP($H236,'(backend scoring)'!$S$2:$S$333,'(backend scoring)'!$A$2:$A$333,"")</f>
        <v/>
      </c>
      <c r="J236" s="209" t="str">
        <f>IFERROR(VLOOKUP($I236,'Institution Evaluation'!$A$55:$F$345,2,0),IFERROR(VLOOKUP($I236,'Privacy Analyst Evaluation'!$A$46:$F$120,2,0),""))</f>
        <v/>
      </c>
      <c r="K236" s="209" t="str">
        <f>IFERROR(VLOOKUP($I236,'Institution Evaluation'!$A$55:$F$345,3,0),IFERROR(VLOOKUP($I236,'Privacy Analyst Evaluation'!$A$46:$F$120,3,0),""))&amp;""</f>
        <v/>
      </c>
      <c r="L236" s="209" t="str">
        <f>IFERROR(VLOOKUP($I236,'Institution Evaluation'!$A$55:$F$345,4,0),IFERROR(VLOOKUP($I236,'Privacy Analyst Evaluation'!$A$46:$F$120,4,0),""))&amp;""</f>
        <v/>
      </c>
      <c r="M236" s="209" t="str">
        <f>IFERROR(VLOOKUP($I236,'Institution Evaluation'!$A$55:$F$345,6,0),IFERROR(VLOOKUP($I236,'Privacy Analyst Evaluation'!$A$46:$F$120,6,0),""))&amp;""</f>
        <v/>
      </c>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row>
    <row r="237" spans="1:338" x14ac:dyDescent="0.3">
      <c r="A237" s="209" t="str">
        <f>IFERROR(IF($A236+1&gt;'(backend scoring)'!$T$335,"",$A236+1),"")</f>
        <v/>
      </c>
      <c r="B237" s="209" t="str">
        <f>_xlfn.XLOOKUP($A237,'(backend scoring)'!$V$2:$V$333,'(backend scoring)'!$A$2:$A$333,"")</f>
        <v/>
      </c>
      <c r="C237" s="209" t="str">
        <f>IFERROR(VLOOKUP($B237,'Institution Evaluation'!$A$55:$F$345,2,0),IFERROR(VLOOKUP($B237,'Privacy Analyst Evaluation'!$A$46:$F$120,2,0),""))&amp;""</f>
        <v/>
      </c>
      <c r="D237" s="209" t="str">
        <f>IFERROR(VLOOKUP($B237,'Institution Evaluation'!$A$55:$F$345,3,0),IFERROR(VLOOKUP($B237,'Privacy Analyst Evaluation'!$A$46:$F$120,3,0),""))&amp;""</f>
        <v/>
      </c>
      <c r="E237" s="209" t="str">
        <f>IFERROR(VLOOKUP($B237,'Institution Evaluation'!$A$55:$F$345,4,0),IFERROR(VLOOKUP($B237,'Privacy Analyst Evaluation'!$A$46:$F$120,4,0),""))&amp;""</f>
        <v/>
      </c>
      <c r="F237" s="209" t="str">
        <f>IFERROR(VLOOKUP($B237,'Institution Evaluation'!$A$55:$F$345,6,0),IFERROR(VLOOKUP($B237,'Privacy Analyst Evaluation'!$A$46:$F$120,6,0),""))&amp;""</f>
        <v/>
      </c>
      <c r="G237" s="210"/>
      <c r="H237" s="209" t="str">
        <f>IFERROR(IF($H236+1&gt;'(backend scoring)'!$Q$335,"",$H236+1),"")</f>
        <v/>
      </c>
      <c r="I237" s="209" t="str">
        <f>_xlfn.XLOOKUP($H237,'(backend scoring)'!$S$2:$S$333,'(backend scoring)'!$A$2:$A$333,"")</f>
        <v/>
      </c>
      <c r="J237" s="209" t="str">
        <f>IFERROR(VLOOKUP($I237,'Institution Evaluation'!$A$55:$F$345,2,0),IFERROR(VLOOKUP($I237,'Privacy Analyst Evaluation'!$A$46:$F$120,2,0),""))</f>
        <v/>
      </c>
      <c r="K237" s="209" t="str">
        <f>IFERROR(VLOOKUP($I237,'Institution Evaluation'!$A$55:$F$345,3,0),IFERROR(VLOOKUP($I237,'Privacy Analyst Evaluation'!$A$46:$F$120,3,0),""))&amp;""</f>
        <v/>
      </c>
      <c r="L237" s="209" t="str">
        <f>IFERROR(VLOOKUP($I237,'Institution Evaluation'!$A$55:$F$345,4,0),IFERROR(VLOOKUP($I237,'Privacy Analyst Evaluation'!$A$46:$F$120,4,0),""))&amp;""</f>
        <v/>
      </c>
      <c r="M237" s="209" t="str">
        <f>IFERROR(VLOOKUP($I237,'Institution Evaluation'!$A$55:$F$345,6,0),IFERROR(VLOOKUP($I237,'Privacy Analyst Evaluation'!$A$46:$F$120,6,0),""))&amp;""</f>
        <v/>
      </c>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row>
    <row r="238" spans="1:338" x14ac:dyDescent="0.3">
      <c r="A238" s="209" t="str">
        <f>IFERROR(IF($A237+1&gt;'(backend scoring)'!$T$335,"",$A237+1),"")</f>
        <v/>
      </c>
      <c r="B238" s="209" t="str">
        <f>_xlfn.XLOOKUP($A238,'(backend scoring)'!$V$2:$V$333,'(backend scoring)'!$A$2:$A$333,"")</f>
        <v/>
      </c>
      <c r="C238" s="209" t="str">
        <f>IFERROR(VLOOKUP($B238,'Institution Evaluation'!$A$55:$F$345,2,0),IFERROR(VLOOKUP($B238,'Privacy Analyst Evaluation'!$A$46:$F$120,2,0),""))&amp;""</f>
        <v/>
      </c>
      <c r="D238" s="209" t="str">
        <f>IFERROR(VLOOKUP($B238,'Institution Evaluation'!$A$55:$F$345,3,0),IFERROR(VLOOKUP($B238,'Privacy Analyst Evaluation'!$A$46:$F$120,3,0),""))&amp;""</f>
        <v/>
      </c>
      <c r="E238" s="209" t="str">
        <f>IFERROR(VLOOKUP($B238,'Institution Evaluation'!$A$55:$F$345,4,0),IFERROR(VLOOKUP($B238,'Privacy Analyst Evaluation'!$A$46:$F$120,4,0),""))&amp;""</f>
        <v/>
      </c>
      <c r="F238" s="209" t="str">
        <f>IFERROR(VLOOKUP($B238,'Institution Evaluation'!$A$55:$F$345,6,0),IFERROR(VLOOKUP($B238,'Privacy Analyst Evaluation'!$A$46:$F$120,6,0),""))&amp;""</f>
        <v/>
      </c>
      <c r="G238" s="210"/>
      <c r="H238" s="209" t="str">
        <f>IFERROR(IF($H237+1&gt;'(backend scoring)'!$Q$335,"",$H237+1),"")</f>
        <v/>
      </c>
      <c r="I238" s="209" t="str">
        <f>_xlfn.XLOOKUP($H238,'(backend scoring)'!$S$2:$S$333,'(backend scoring)'!$A$2:$A$333,"")</f>
        <v/>
      </c>
      <c r="J238" s="209" t="str">
        <f>IFERROR(VLOOKUP($I238,'Institution Evaluation'!$A$55:$F$345,2,0),IFERROR(VLOOKUP($I238,'Privacy Analyst Evaluation'!$A$46:$F$120,2,0),""))</f>
        <v/>
      </c>
      <c r="K238" s="209" t="str">
        <f>IFERROR(VLOOKUP($I238,'Institution Evaluation'!$A$55:$F$345,3,0),IFERROR(VLOOKUP($I238,'Privacy Analyst Evaluation'!$A$46:$F$120,3,0),""))&amp;""</f>
        <v/>
      </c>
      <c r="L238" s="209" t="str">
        <f>IFERROR(VLOOKUP($I238,'Institution Evaluation'!$A$55:$F$345,4,0),IFERROR(VLOOKUP($I238,'Privacy Analyst Evaluation'!$A$46:$F$120,4,0),""))&amp;""</f>
        <v/>
      </c>
      <c r="M238" s="209" t="str">
        <f>IFERROR(VLOOKUP($I238,'Institution Evaluation'!$A$55:$F$345,6,0),IFERROR(VLOOKUP($I238,'Privacy Analyst Evaluation'!$A$46:$F$120,6,0),""))&amp;""</f>
        <v/>
      </c>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row>
    <row r="239" spans="1:338" x14ac:dyDescent="0.3">
      <c r="A239" s="209" t="str">
        <f>IFERROR(IF($A238+1&gt;'(backend scoring)'!$T$335,"",$A238+1),"")</f>
        <v/>
      </c>
      <c r="B239" s="209" t="str">
        <f>_xlfn.XLOOKUP($A239,'(backend scoring)'!$V$2:$V$333,'(backend scoring)'!$A$2:$A$333,"")</f>
        <v/>
      </c>
      <c r="C239" s="209" t="str">
        <f>IFERROR(VLOOKUP($B239,'Institution Evaluation'!$A$55:$F$345,2,0),IFERROR(VLOOKUP($B239,'Privacy Analyst Evaluation'!$A$46:$F$120,2,0),""))&amp;""</f>
        <v/>
      </c>
      <c r="D239" s="209" t="str">
        <f>IFERROR(VLOOKUP($B239,'Institution Evaluation'!$A$55:$F$345,3,0),IFERROR(VLOOKUP($B239,'Privacy Analyst Evaluation'!$A$46:$F$120,3,0),""))&amp;""</f>
        <v/>
      </c>
      <c r="E239" s="209" t="str">
        <f>IFERROR(VLOOKUP($B239,'Institution Evaluation'!$A$55:$F$345,4,0),IFERROR(VLOOKUP($B239,'Privacy Analyst Evaluation'!$A$46:$F$120,4,0),""))&amp;""</f>
        <v/>
      </c>
      <c r="F239" s="209" t="str">
        <f>IFERROR(VLOOKUP($B239,'Institution Evaluation'!$A$55:$F$345,6,0),IFERROR(VLOOKUP($B239,'Privacy Analyst Evaluation'!$A$46:$F$120,6,0),""))&amp;""</f>
        <v/>
      </c>
      <c r="G239" s="210"/>
      <c r="H239" s="209" t="str">
        <f>IFERROR(IF($H238+1&gt;'(backend scoring)'!$Q$335,"",$H238+1),"")</f>
        <v/>
      </c>
      <c r="I239" s="209" t="str">
        <f>_xlfn.XLOOKUP($H239,'(backend scoring)'!$S$2:$S$333,'(backend scoring)'!$A$2:$A$333,"")</f>
        <v/>
      </c>
      <c r="J239" s="209" t="str">
        <f>IFERROR(VLOOKUP($I239,'Institution Evaluation'!$A$55:$F$345,2,0),IFERROR(VLOOKUP($I239,'Privacy Analyst Evaluation'!$A$46:$F$120,2,0),""))</f>
        <v/>
      </c>
      <c r="K239" s="209" t="str">
        <f>IFERROR(VLOOKUP($I239,'Institution Evaluation'!$A$55:$F$345,3,0),IFERROR(VLOOKUP($I239,'Privacy Analyst Evaluation'!$A$46:$F$120,3,0),""))&amp;""</f>
        <v/>
      </c>
      <c r="L239" s="209" t="str">
        <f>IFERROR(VLOOKUP($I239,'Institution Evaluation'!$A$55:$F$345,4,0),IFERROR(VLOOKUP($I239,'Privacy Analyst Evaluation'!$A$46:$F$120,4,0),""))&amp;""</f>
        <v/>
      </c>
      <c r="M239" s="209" t="str">
        <f>IFERROR(VLOOKUP($I239,'Institution Evaluation'!$A$55:$F$345,6,0),IFERROR(VLOOKUP($I239,'Privacy Analyst Evaluation'!$A$46:$F$120,6,0),""))&amp;""</f>
        <v/>
      </c>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row>
    <row r="240" spans="1:338" x14ac:dyDescent="0.3">
      <c r="A240" s="209" t="str">
        <f>IFERROR(IF($A239+1&gt;'(backend scoring)'!$T$335,"",$A239+1),"")</f>
        <v/>
      </c>
      <c r="B240" s="209" t="str">
        <f>_xlfn.XLOOKUP($A240,'(backend scoring)'!$V$2:$V$333,'(backend scoring)'!$A$2:$A$333,"")</f>
        <v/>
      </c>
      <c r="C240" s="209" t="str">
        <f>IFERROR(VLOOKUP($B240,'Institution Evaluation'!$A$55:$F$345,2,0),IFERROR(VLOOKUP($B240,'Privacy Analyst Evaluation'!$A$46:$F$120,2,0),""))&amp;""</f>
        <v/>
      </c>
      <c r="D240" s="209" t="str">
        <f>IFERROR(VLOOKUP($B240,'Institution Evaluation'!$A$55:$F$345,3,0),IFERROR(VLOOKUP($B240,'Privacy Analyst Evaluation'!$A$46:$F$120,3,0),""))&amp;""</f>
        <v/>
      </c>
      <c r="E240" s="209" t="str">
        <f>IFERROR(VLOOKUP($B240,'Institution Evaluation'!$A$55:$F$345,4,0),IFERROR(VLOOKUP($B240,'Privacy Analyst Evaluation'!$A$46:$F$120,4,0),""))&amp;""</f>
        <v/>
      </c>
      <c r="F240" s="209" t="str">
        <f>IFERROR(VLOOKUP($B240,'Institution Evaluation'!$A$55:$F$345,6,0),IFERROR(VLOOKUP($B240,'Privacy Analyst Evaluation'!$A$46:$F$120,6,0),""))&amp;""</f>
        <v/>
      </c>
      <c r="G240" s="210"/>
      <c r="H240" s="209" t="str">
        <f>IFERROR(IF($H239+1&gt;'(backend scoring)'!$Q$335,"",$H239+1),"")</f>
        <v/>
      </c>
      <c r="I240" s="209" t="str">
        <f>_xlfn.XLOOKUP($H240,'(backend scoring)'!$S$2:$S$333,'(backend scoring)'!$A$2:$A$333,"")</f>
        <v/>
      </c>
      <c r="J240" s="209" t="str">
        <f>IFERROR(VLOOKUP($I240,'Institution Evaluation'!$A$55:$F$345,2,0),IFERROR(VLOOKUP($I240,'Privacy Analyst Evaluation'!$A$46:$F$120,2,0),""))</f>
        <v/>
      </c>
      <c r="K240" s="209" t="str">
        <f>IFERROR(VLOOKUP($I240,'Institution Evaluation'!$A$55:$F$345,3,0),IFERROR(VLOOKUP($I240,'Privacy Analyst Evaluation'!$A$46:$F$120,3,0),""))&amp;""</f>
        <v/>
      </c>
      <c r="L240" s="209" t="str">
        <f>IFERROR(VLOOKUP($I240,'Institution Evaluation'!$A$55:$F$345,4,0),IFERROR(VLOOKUP($I240,'Privacy Analyst Evaluation'!$A$46:$F$120,4,0),""))&amp;""</f>
        <v/>
      </c>
      <c r="M240" s="209" t="str">
        <f>IFERROR(VLOOKUP($I240,'Institution Evaluation'!$A$55:$F$345,6,0),IFERROR(VLOOKUP($I240,'Privacy Analyst Evaluation'!$A$46:$F$120,6,0),""))&amp;""</f>
        <v/>
      </c>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row>
    <row r="241" spans="1:338" x14ac:dyDescent="0.3">
      <c r="A241" s="209" t="str">
        <f>IFERROR(IF($A240+1&gt;'(backend scoring)'!$T$335,"",$A240+1),"")</f>
        <v/>
      </c>
      <c r="B241" s="209" t="str">
        <f>_xlfn.XLOOKUP($A241,'(backend scoring)'!$V$2:$V$333,'(backend scoring)'!$A$2:$A$333,"")</f>
        <v/>
      </c>
      <c r="C241" s="209" t="str">
        <f>IFERROR(VLOOKUP($B241,'Institution Evaluation'!$A$55:$F$345,2,0),IFERROR(VLOOKUP($B241,'Privacy Analyst Evaluation'!$A$46:$F$120,2,0),""))&amp;""</f>
        <v/>
      </c>
      <c r="D241" s="209" t="str">
        <f>IFERROR(VLOOKUP($B241,'Institution Evaluation'!$A$55:$F$345,3,0),IFERROR(VLOOKUP($B241,'Privacy Analyst Evaluation'!$A$46:$F$120,3,0),""))&amp;""</f>
        <v/>
      </c>
      <c r="E241" s="209" t="str">
        <f>IFERROR(VLOOKUP($B241,'Institution Evaluation'!$A$55:$F$345,4,0),IFERROR(VLOOKUP($B241,'Privacy Analyst Evaluation'!$A$46:$F$120,4,0),""))&amp;""</f>
        <v/>
      </c>
      <c r="F241" s="209" t="str">
        <f>IFERROR(VLOOKUP($B241,'Institution Evaluation'!$A$55:$F$345,6,0),IFERROR(VLOOKUP($B241,'Privacy Analyst Evaluation'!$A$46:$F$120,6,0),""))&amp;""</f>
        <v/>
      </c>
      <c r="G241" s="210"/>
      <c r="H241" s="209" t="str">
        <f>IFERROR(IF($H240+1&gt;'(backend scoring)'!$Q$335,"",$H240+1),"")</f>
        <v/>
      </c>
      <c r="I241" s="209" t="str">
        <f>_xlfn.XLOOKUP($H241,'(backend scoring)'!$S$2:$S$333,'(backend scoring)'!$A$2:$A$333,"")</f>
        <v/>
      </c>
      <c r="J241" s="209" t="str">
        <f>IFERROR(VLOOKUP($I241,'Institution Evaluation'!$A$55:$F$345,2,0),IFERROR(VLOOKUP($I241,'Privacy Analyst Evaluation'!$A$46:$F$120,2,0),""))</f>
        <v/>
      </c>
      <c r="K241" s="209" t="str">
        <f>IFERROR(VLOOKUP($I241,'Institution Evaluation'!$A$55:$F$345,3,0),IFERROR(VLOOKUP($I241,'Privacy Analyst Evaluation'!$A$46:$F$120,3,0),""))&amp;""</f>
        <v/>
      </c>
      <c r="L241" s="209" t="str">
        <f>IFERROR(VLOOKUP($I241,'Institution Evaluation'!$A$55:$F$345,4,0),IFERROR(VLOOKUP($I241,'Privacy Analyst Evaluation'!$A$46:$F$120,4,0),""))&amp;""</f>
        <v/>
      </c>
      <c r="M241" s="209" t="str">
        <f>IFERROR(VLOOKUP($I241,'Institution Evaluation'!$A$55:$F$345,6,0),IFERROR(VLOOKUP($I241,'Privacy Analyst Evaluation'!$A$46:$F$120,6,0),""))&amp;""</f>
        <v/>
      </c>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row>
    <row r="242" spans="1:338" x14ac:dyDescent="0.3">
      <c r="A242" s="209" t="str">
        <f>IFERROR(IF($A241+1&gt;'(backend scoring)'!$T$335,"",$A241+1),"")</f>
        <v/>
      </c>
      <c r="B242" s="209" t="str">
        <f>_xlfn.XLOOKUP($A242,'(backend scoring)'!$V$2:$V$333,'(backend scoring)'!$A$2:$A$333,"")</f>
        <v/>
      </c>
      <c r="C242" s="209" t="str">
        <f>IFERROR(VLOOKUP($B242,'Institution Evaluation'!$A$55:$F$345,2,0),IFERROR(VLOOKUP($B242,'Privacy Analyst Evaluation'!$A$46:$F$120,2,0),""))&amp;""</f>
        <v/>
      </c>
      <c r="D242" s="209" t="str">
        <f>IFERROR(VLOOKUP($B242,'Institution Evaluation'!$A$55:$F$345,3,0),IFERROR(VLOOKUP($B242,'Privacy Analyst Evaluation'!$A$46:$F$120,3,0),""))&amp;""</f>
        <v/>
      </c>
      <c r="E242" s="209" t="str">
        <f>IFERROR(VLOOKUP($B242,'Institution Evaluation'!$A$55:$F$345,4,0),IFERROR(VLOOKUP($B242,'Privacy Analyst Evaluation'!$A$46:$F$120,4,0),""))&amp;""</f>
        <v/>
      </c>
      <c r="F242" s="209" t="str">
        <f>IFERROR(VLOOKUP($B242,'Institution Evaluation'!$A$55:$F$345,6,0),IFERROR(VLOOKUP($B242,'Privacy Analyst Evaluation'!$A$46:$F$120,6,0),""))&amp;""</f>
        <v/>
      </c>
      <c r="G242" s="210"/>
      <c r="H242" s="209" t="str">
        <f>IFERROR(IF($H241+1&gt;'(backend scoring)'!$Q$335,"",$H241+1),"")</f>
        <v/>
      </c>
      <c r="I242" s="209" t="str">
        <f>_xlfn.XLOOKUP($H242,'(backend scoring)'!$S$2:$S$333,'(backend scoring)'!$A$2:$A$333,"")</f>
        <v/>
      </c>
      <c r="J242" s="209" t="str">
        <f>IFERROR(VLOOKUP($I242,'Institution Evaluation'!$A$55:$F$345,2,0),IFERROR(VLOOKUP($I242,'Privacy Analyst Evaluation'!$A$46:$F$120,2,0),""))</f>
        <v/>
      </c>
      <c r="K242" s="209" t="str">
        <f>IFERROR(VLOOKUP($I242,'Institution Evaluation'!$A$55:$F$345,3,0),IFERROR(VLOOKUP($I242,'Privacy Analyst Evaluation'!$A$46:$F$120,3,0),""))&amp;""</f>
        <v/>
      </c>
      <c r="L242" s="209" t="str">
        <f>IFERROR(VLOOKUP($I242,'Institution Evaluation'!$A$55:$F$345,4,0),IFERROR(VLOOKUP($I242,'Privacy Analyst Evaluation'!$A$46:$F$120,4,0),""))&amp;""</f>
        <v/>
      </c>
      <c r="M242" s="209" t="str">
        <f>IFERROR(VLOOKUP($I242,'Institution Evaluation'!$A$55:$F$345,6,0),IFERROR(VLOOKUP($I242,'Privacy Analyst Evaluation'!$A$46:$F$120,6,0),""))&amp;""</f>
        <v/>
      </c>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row>
    <row r="243" spans="1:338" x14ac:dyDescent="0.3">
      <c r="A243" s="209" t="str">
        <f>IFERROR(IF($A242+1&gt;'(backend scoring)'!$T$335,"",$A242+1),"")</f>
        <v/>
      </c>
      <c r="B243" s="209" t="str">
        <f>_xlfn.XLOOKUP($A243,'(backend scoring)'!$V$2:$V$333,'(backend scoring)'!$A$2:$A$333,"")</f>
        <v/>
      </c>
      <c r="C243" s="209" t="str">
        <f>IFERROR(VLOOKUP($B243,'Institution Evaluation'!$A$55:$F$345,2,0),IFERROR(VLOOKUP($B243,'Privacy Analyst Evaluation'!$A$46:$F$120,2,0),""))&amp;""</f>
        <v/>
      </c>
      <c r="D243" s="209" t="str">
        <f>IFERROR(VLOOKUP($B243,'Institution Evaluation'!$A$55:$F$345,3,0),IFERROR(VLOOKUP($B243,'Privacy Analyst Evaluation'!$A$46:$F$120,3,0),""))&amp;""</f>
        <v/>
      </c>
      <c r="E243" s="209" t="str">
        <f>IFERROR(VLOOKUP($B243,'Institution Evaluation'!$A$55:$F$345,4,0),IFERROR(VLOOKUP($B243,'Privacy Analyst Evaluation'!$A$46:$F$120,4,0),""))&amp;""</f>
        <v/>
      </c>
      <c r="F243" s="209" t="str">
        <f>IFERROR(VLOOKUP($B243,'Institution Evaluation'!$A$55:$F$345,6,0),IFERROR(VLOOKUP($B243,'Privacy Analyst Evaluation'!$A$46:$F$120,6,0),""))&amp;""</f>
        <v/>
      </c>
      <c r="G243" s="210"/>
      <c r="H243" s="209" t="str">
        <f>IFERROR(IF($H242+1&gt;'(backend scoring)'!$Q$335,"",$H242+1),"")</f>
        <v/>
      </c>
      <c r="I243" s="209" t="str">
        <f>_xlfn.XLOOKUP($H243,'(backend scoring)'!$S$2:$S$333,'(backend scoring)'!$A$2:$A$333,"")</f>
        <v/>
      </c>
      <c r="J243" s="209" t="str">
        <f>IFERROR(VLOOKUP($I243,'Institution Evaluation'!$A$55:$F$345,2,0),IFERROR(VLOOKUP($I243,'Privacy Analyst Evaluation'!$A$46:$F$120,2,0),""))</f>
        <v/>
      </c>
      <c r="K243" s="209" t="str">
        <f>IFERROR(VLOOKUP($I243,'Institution Evaluation'!$A$55:$F$345,3,0),IFERROR(VLOOKUP($I243,'Privacy Analyst Evaluation'!$A$46:$F$120,3,0),""))&amp;""</f>
        <v/>
      </c>
      <c r="L243" s="209" t="str">
        <f>IFERROR(VLOOKUP($I243,'Institution Evaluation'!$A$55:$F$345,4,0),IFERROR(VLOOKUP($I243,'Privacy Analyst Evaluation'!$A$46:$F$120,4,0),""))&amp;""</f>
        <v/>
      </c>
      <c r="M243" s="209" t="str">
        <f>IFERROR(VLOOKUP($I243,'Institution Evaluation'!$A$55:$F$345,6,0),IFERROR(VLOOKUP($I243,'Privacy Analyst Evaluation'!$A$46:$F$120,6,0),""))&amp;""</f>
        <v/>
      </c>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row>
    <row r="244" spans="1:338" x14ac:dyDescent="0.3">
      <c r="A244" s="209" t="str">
        <f>IFERROR(IF($A243+1&gt;'(backend scoring)'!$T$335,"",$A243+1),"")</f>
        <v/>
      </c>
      <c r="B244" s="209" t="str">
        <f>_xlfn.XLOOKUP($A244,'(backend scoring)'!$V$2:$V$333,'(backend scoring)'!$A$2:$A$333,"")</f>
        <v/>
      </c>
      <c r="C244" s="209" t="str">
        <f>IFERROR(VLOOKUP($B244,'Institution Evaluation'!$A$55:$F$345,2,0),IFERROR(VLOOKUP($B244,'Privacy Analyst Evaluation'!$A$46:$F$120,2,0),""))&amp;""</f>
        <v/>
      </c>
      <c r="D244" s="209" t="str">
        <f>IFERROR(VLOOKUP($B244,'Institution Evaluation'!$A$55:$F$345,3,0),IFERROR(VLOOKUP($B244,'Privacy Analyst Evaluation'!$A$46:$F$120,3,0),""))&amp;""</f>
        <v/>
      </c>
      <c r="E244" s="209" t="str">
        <f>IFERROR(VLOOKUP($B244,'Institution Evaluation'!$A$55:$F$345,4,0),IFERROR(VLOOKUP($B244,'Privacy Analyst Evaluation'!$A$46:$F$120,4,0),""))&amp;""</f>
        <v/>
      </c>
      <c r="F244" s="209" t="str">
        <f>IFERROR(VLOOKUP($B244,'Institution Evaluation'!$A$55:$F$345,6,0),IFERROR(VLOOKUP($B244,'Privacy Analyst Evaluation'!$A$46:$F$120,6,0),""))&amp;""</f>
        <v/>
      </c>
      <c r="G244" s="210"/>
      <c r="H244" s="209" t="str">
        <f>IFERROR(IF($H243+1&gt;'(backend scoring)'!$Q$335,"",$H243+1),"")</f>
        <v/>
      </c>
      <c r="I244" s="209" t="str">
        <f>_xlfn.XLOOKUP($H244,'(backend scoring)'!$S$2:$S$333,'(backend scoring)'!$A$2:$A$333,"")</f>
        <v/>
      </c>
      <c r="J244" s="209" t="str">
        <f>IFERROR(VLOOKUP($I244,'Institution Evaluation'!$A$55:$F$345,2,0),IFERROR(VLOOKUP($I244,'Privacy Analyst Evaluation'!$A$46:$F$120,2,0),""))</f>
        <v/>
      </c>
      <c r="K244" s="209" t="str">
        <f>IFERROR(VLOOKUP($I244,'Institution Evaluation'!$A$55:$F$345,3,0),IFERROR(VLOOKUP($I244,'Privacy Analyst Evaluation'!$A$46:$F$120,3,0),""))&amp;""</f>
        <v/>
      </c>
      <c r="L244" s="209" t="str">
        <f>IFERROR(VLOOKUP($I244,'Institution Evaluation'!$A$55:$F$345,4,0),IFERROR(VLOOKUP($I244,'Privacy Analyst Evaluation'!$A$46:$F$120,4,0),""))&amp;""</f>
        <v/>
      </c>
      <c r="M244" s="209" t="str">
        <f>IFERROR(VLOOKUP($I244,'Institution Evaluation'!$A$55:$F$345,6,0),IFERROR(VLOOKUP($I244,'Privacy Analyst Evaluation'!$A$46:$F$120,6,0),""))&amp;""</f>
        <v/>
      </c>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row>
    <row r="245" spans="1:338" x14ac:dyDescent="0.3">
      <c r="A245" s="209" t="str">
        <f>IFERROR(IF($A244+1&gt;'(backend scoring)'!$T$335,"",$A244+1),"")</f>
        <v/>
      </c>
      <c r="B245" s="209" t="str">
        <f>_xlfn.XLOOKUP($A245,'(backend scoring)'!$V$2:$V$333,'(backend scoring)'!$A$2:$A$333,"")</f>
        <v/>
      </c>
      <c r="C245" s="209" t="str">
        <f>IFERROR(VLOOKUP($B245,'Institution Evaluation'!$A$55:$F$345,2,0),IFERROR(VLOOKUP($B245,'Privacy Analyst Evaluation'!$A$46:$F$120,2,0),""))&amp;""</f>
        <v/>
      </c>
      <c r="D245" s="209" t="str">
        <f>IFERROR(VLOOKUP($B245,'Institution Evaluation'!$A$55:$F$345,3,0),IFERROR(VLOOKUP($B245,'Privacy Analyst Evaluation'!$A$46:$F$120,3,0),""))&amp;""</f>
        <v/>
      </c>
      <c r="E245" s="209" t="str">
        <f>IFERROR(VLOOKUP($B245,'Institution Evaluation'!$A$55:$F$345,4,0),IFERROR(VLOOKUP($B245,'Privacy Analyst Evaluation'!$A$46:$F$120,4,0),""))&amp;""</f>
        <v/>
      </c>
      <c r="F245" s="209" t="str">
        <f>IFERROR(VLOOKUP($B245,'Institution Evaluation'!$A$55:$F$345,6,0),IFERROR(VLOOKUP($B245,'Privacy Analyst Evaluation'!$A$46:$F$120,6,0),""))&amp;""</f>
        <v/>
      </c>
      <c r="G245" s="210"/>
      <c r="H245" s="209" t="str">
        <f>IFERROR(IF($H244+1&gt;'(backend scoring)'!$Q$335,"",$H244+1),"")</f>
        <v/>
      </c>
      <c r="I245" s="209" t="str">
        <f>_xlfn.XLOOKUP($H245,'(backend scoring)'!$S$2:$S$333,'(backend scoring)'!$A$2:$A$333,"")</f>
        <v/>
      </c>
      <c r="J245" s="209" t="str">
        <f>IFERROR(VLOOKUP($I245,'Institution Evaluation'!$A$55:$F$345,2,0),IFERROR(VLOOKUP($I245,'Privacy Analyst Evaluation'!$A$46:$F$120,2,0),""))</f>
        <v/>
      </c>
      <c r="K245" s="209" t="str">
        <f>IFERROR(VLOOKUP($I245,'Institution Evaluation'!$A$55:$F$345,3,0),IFERROR(VLOOKUP($I245,'Privacy Analyst Evaluation'!$A$46:$F$120,3,0),""))&amp;""</f>
        <v/>
      </c>
      <c r="L245" s="209" t="str">
        <f>IFERROR(VLOOKUP($I245,'Institution Evaluation'!$A$55:$F$345,4,0),IFERROR(VLOOKUP($I245,'Privacy Analyst Evaluation'!$A$46:$F$120,4,0),""))&amp;""</f>
        <v/>
      </c>
      <c r="M245" s="209" t="str">
        <f>IFERROR(VLOOKUP($I245,'Institution Evaluation'!$A$55:$F$345,6,0),IFERROR(VLOOKUP($I245,'Privacy Analyst Evaluation'!$A$46:$F$120,6,0),""))&amp;""</f>
        <v/>
      </c>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row>
    <row r="246" spans="1:338" x14ac:dyDescent="0.3">
      <c r="A246" s="209" t="str">
        <f>IFERROR(IF($A245+1&gt;'(backend scoring)'!$T$335,"",$A245+1),"")</f>
        <v/>
      </c>
      <c r="B246" s="209" t="str">
        <f>_xlfn.XLOOKUP($A246,'(backend scoring)'!$V$2:$V$333,'(backend scoring)'!$A$2:$A$333,"")</f>
        <v/>
      </c>
      <c r="C246" s="209" t="str">
        <f>IFERROR(VLOOKUP($B246,'Institution Evaluation'!$A$55:$F$345,2,0),IFERROR(VLOOKUP($B246,'Privacy Analyst Evaluation'!$A$46:$F$120,2,0),""))&amp;""</f>
        <v/>
      </c>
      <c r="D246" s="209" t="str">
        <f>IFERROR(VLOOKUP($B246,'Institution Evaluation'!$A$55:$F$345,3,0),IFERROR(VLOOKUP($B246,'Privacy Analyst Evaluation'!$A$46:$F$120,3,0),""))&amp;""</f>
        <v/>
      </c>
      <c r="E246" s="209" t="str">
        <f>IFERROR(VLOOKUP($B246,'Institution Evaluation'!$A$55:$F$345,4,0),IFERROR(VLOOKUP($B246,'Privacy Analyst Evaluation'!$A$46:$F$120,4,0),""))&amp;""</f>
        <v/>
      </c>
      <c r="F246" s="209" t="str">
        <f>IFERROR(VLOOKUP($B246,'Institution Evaluation'!$A$55:$F$345,6,0),IFERROR(VLOOKUP($B246,'Privacy Analyst Evaluation'!$A$46:$F$120,6,0),""))&amp;""</f>
        <v/>
      </c>
      <c r="G246" s="210"/>
      <c r="H246" s="209" t="str">
        <f>IFERROR(IF($H245+1&gt;'(backend scoring)'!$Q$335,"",$H245+1),"")</f>
        <v/>
      </c>
      <c r="I246" s="209" t="str">
        <f>_xlfn.XLOOKUP($H246,'(backend scoring)'!$S$2:$S$333,'(backend scoring)'!$A$2:$A$333,"")</f>
        <v/>
      </c>
      <c r="J246" s="209" t="str">
        <f>IFERROR(VLOOKUP($I246,'Institution Evaluation'!$A$55:$F$345,2,0),IFERROR(VLOOKUP($I246,'Privacy Analyst Evaluation'!$A$46:$F$120,2,0),""))</f>
        <v/>
      </c>
      <c r="K246" s="209" t="str">
        <f>IFERROR(VLOOKUP($I246,'Institution Evaluation'!$A$55:$F$345,3,0),IFERROR(VLOOKUP($I246,'Privacy Analyst Evaluation'!$A$46:$F$120,3,0),""))&amp;""</f>
        <v/>
      </c>
      <c r="L246" s="209" t="str">
        <f>IFERROR(VLOOKUP($I246,'Institution Evaluation'!$A$55:$F$345,4,0),IFERROR(VLOOKUP($I246,'Privacy Analyst Evaluation'!$A$46:$F$120,4,0),""))&amp;""</f>
        <v/>
      </c>
      <c r="M246" s="209" t="str">
        <f>IFERROR(VLOOKUP($I246,'Institution Evaluation'!$A$55:$F$345,6,0),IFERROR(VLOOKUP($I246,'Privacy Analyst Evaluation'!$A$46:$F$120,6,0),""))&amp;""</f>
        <v/>
      </c>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row>
    <row r="247" spans="1:338" x14ac:dyDescent="0.3">
      <c r="A247" s="209" t="str">
        <f>IFERROR(IF($A246+1&gt;'(backend scoring)'!$T$335,"",$A246+1),"")</f>
        <v/>
      </c>
      <c r="B247" s="209" t="str">
        <f>_xlfn.XLOOKUP($A247,'(backend scoring)'!$V$2:$V$333,'(backend scoring)'!$A$2:$A$333,"")</f>
        <v/>
      </c>
      <c r="C247" s="209" t="str">
        <f>IFERROR(VLOOKUP($B247,'Institution Evaluation'!$A$55:$F$345,2,0),IFERROR(VLOOKUP($B247,'Privacy Analyst Evaluation'!$A$46:$F$120,2,0),""))&amp;""</f>
        <v/>
      </c>
      <c r="D247" s="209" t="str">
        <f>IFERROR(VLOOKUP($B247,'Institution Evaluation'!$A$55:$F$345,3,0),IFERROR(VLOOKUP($B247,'Privacy Analyst Evaluation'!$A$46:$F$120,3,0),""))&amp;""</f>
        <v/>
      </c>
      <c r="E247" s="209" t="str">
        <f>IFERROR(VLOOKUP($B247,'Institution Evaluation'!$A$55:$F$345,4,0),IFERROR(VLOOKUP($B247,'Privacy Analyst Evaluation'!$A$46:$F$120,4,0),""))&amp;""</f>
        <v/>
      </c>
      <c r="F247" s="209" t="str">
        <f>IFERROR(VLOOKUP($B247,'Institution Evaluation'!$A$55:$F$345,6,0),IFERROR(VLOOKUP($B247,'Privacy Analyst Evaluation'!$A$46:$F$120,6,0),""))&amp;""</f>
        <v/>
      </c>
      <c r="G247" s="210"/>
      <c r="H247" s="209" t="str">
        <f>IFERROR(IF($H246+1&gt;'(backend scoring)'!$Q$335,"",$H246+1),"")</f>
        <v/>
      </c>
      <c r="I247" s="209" t="str">
        <f>_xlfn.XLOOKUP($H247,'(backend scoring)'!$S$2:$S$333,'(backend scoring)'!$A$2:$A$333,"")</f>
        <v/>
      </c>
      <c r="J247" s="209" t="str">
        <f>IFERROR(VLOOKUP($I247,'Institution Evaluation'!$A$55:$F$345,2,0),IFERROR(VLOOKUP($I247,'Privacy Analyst Evaluation'!$A$46:$F$120,2,0),""))</f>
        <v/>
      </c>
      <c r="K247" s="209" t="str">
        <f>IFERROR(VLOOKUP($I247,'Institution Evaluation'!$A$55:$F$345,3,0),IFERROR(VLOOKUP($I247,'Privacy Analyst Evaluation'!$A$46:$F$120,3,0),""))&amp;""</f>
        <v/>
      </c>
      <c r="L247" s="209" t="str">
        <f>IFERROR(VLOOKUP($I247,'Institution Evaluation'!$A$55:$F$345,4,0),IFERROR(VLOOKUP($I247,'Privacy Analyst Evaluation'!$A$46:$F$120,4,0),""))&amp;""</f>
        <v/>
      </c>
      <c r="M247" s="209" t="str">
        <f>IFERROR(VLOOKUP($I247,'Institution Evaluation'!$A$55:$F$345,6,0),IFERROR(VLOOKUP($I247,'Privacy Analyst Evaluation'!$A$46:$F$120,6,0),""))&amp;""</f>
        <v/>
      </c>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row>
    <row r="248" spans="1:338" x14ac:dyDescent="0.3">
      <c r="A248" s="209" t="str">
        <f>IFERROR(IF($A247+1&gt;'(backend scoring)'!$T$335,"",$A247+1),"")</f>
        <v/>
      </c>
      <c r="B248" s="209" t="str">
        <f>_xlfn.XLOOKUP($A248,'(backend scoring)'!$V$2:$V$333,'(backend scoring)'!$A$2:$A$333,"")</f>
        <v/>
      </c>
      <c r="C248" s="209" t="str">
        <f>IFERROR(VLOOKUP($B248,'Institution Evaluation'!$A$55:$F$345,2,0),IFERROR(VLOOKUP($B248,'Privacy Analyst Evaluation'!$A$46:$F$120,2,0),""))&amp;""</f>
        <v/>
      </c>
      <c r="D248" s="209" t="str">
        <f>IFERROR(VLOOKUP($B248,'Institution Evaluation'!$A$55:$F$345,3,0),IFERROR(VLOOKUP($B248,'Privacy Analyst Evaluation'!$A$46:$F$120,3,0),""))&amp;""</f>
        <v/>
      </c>
      <c r="E248" s="209" t="str">
        <f>IFERROR(VLOOKUP($B248,'Institution Evaluation'!$A$55:$F$345,4,0),IFERROR(VLOOKUP($B248,'Privacy Analyst Evaluation'!$A$46:$F$120,4,0),""))&amp;""</f>
        <v/>
      </c>
      <c r="F248" s="209" t="str">
        <f>IFERROR(VLOOKUP($B248,'Institution Evaluation'!$A$55:$F$345,6,0),IFERROR(VLOOKUP($B248,'Privacy Analyst Evaluation'!$A$46:$F$120,6,0),""))&amp;""</f>
        <v/>
      </c>
      <c r="G248" s="210"/>
      <c r="H248" s="209" t="str">
        <f>IFERROR(IF($H247+1&gt;'(backend scoring)'!$Q$335,"",$H247+1),"")</f>
        <v/>
      </c>
      <c r="I248" s="209" t="str">
        <f>_xlfn.XLOOKUP($H248,'(backend scoring)'!$S$2:$S$333,'(backend scoring)'!$A$2:$A$333,"")</f>
        <v/>
      </c>
      <c r="J248" s="209" t="str">
        <f>IFERROR(VLOOKUP($I248,'Institution Evaluation'!$A$55:$F$345,2,0),IFERROR(VLOOKUP($I248,'Privacy Analyst Evaluation'!$A$46:$F$120,2,0),""))</f>
        <v/>
      </c>
      <c r="K248" s="209" t="str">
        <f>IFERROR(VLOOKUP($I248,'Institution Evaluation'!$A$55:$F$345,3,0),IFERROR(VLOOKUP($I248,'Privacy Analyst Evaluation'!$A$46:$F$120,3,0),""))&amp;""</f>
        <v/>
      </c>
      <c r="L248" s="209" t="str">
        <f>IFERROR(VLOOKUP($I248,'Institution Evaluation'!$A$55:$F$345,4,0),IFERROR(VLOOKUP($I248,'Privacy Analyst Evaluation'!$A$46:$F$120,4,0),""))&amp;""</f>
        <v/>
      </c>
      <c r="M248" s="209" t="str">
        <f>IFERROR(VLOOKUP($I248,'Institution Evaluation'!$A$55:$F$345,6,0),IFERROR(VLOOKUP($I248,'Privacy Analyst Evaluation'!$A$46:$F$120,6,0),""))&amp;""</f>
        <v/>
      </c>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row>
    <row r="249" spans="1:338" x14ac:dyDescent="0.3">
      <c r="A249" s="209" t="str">
        <f>IFERROR(IF($A248+1&gt;'(backend scoring)'!$T$335,"",$A248+1),"")</f>
        <v/>
      </c>
      <c r="B249" s="209" t="str">
        <f>_xlfn.XLOOKUP($A249,'(backend scoring)'!$V$2:$V$333,'(backend scoring)'!$A$2:$A$333,"")</f>
        <v/>
      </c>
      <c r="C249" s="209" t="str">
        <f>IFERROR(VLOOKUP($B249,'Institution Evaluation'!$A$55:$F$345,2,0),IFERROR(VLOOKUP($B249,'Privacy Analyst Evaluation'!$A$46:$F$120,2,0),""))&amp;""</f>
        <v/>
      </c>
      <c r="D249" s="209" t="str">
        <f>IFERROR(VLOOKUP($B249,'Institution Evaluation'!$A$55:$F$345,3,0),IFERROR(VLOOKUP($B249,'Privacy Analyst Evaluation'!$A$46:$F$120,3,0),""))&amp;""</f>
        <v/>
      </c>
      <c r="E249" s="209" t="str">
        <f>IFERROR(VLOOKUP($B249,'Institution Evaluation'!$A$55:$F$345,4,0),IFERROR(VLOOKUP($B249,'Privacy Analyst Evaluation'!$A$46:$F$120,4,0),""))&amp;""</f>
        <v/>
      </c>
      <c r="F249" s="209" t="str">
        <f>IFERROR(VLOOKUP($B249,'Institution Evaluation'!$A$55:$F$345,6,0),IFERROR(VLOOKUP($B249,'Privacy Analyst Evaluation'!$A$46:$F$120,6,0),""))&amp;""</f>
        <v/>
      </c>
      <c r="G249" s="210"/>
      <c r="H249" s="209" t="str">
        <f>IFERROR(IF($H248+1&gt;'(backend scoring)'!$Q$335,"",$H248+1),"")</f>
        <v/>
      </c>
      <c r="I249" s="209" t="str">
        <f>_xlfn.XLOOKUP($H249,'(backend scoring)'!$S$2:$S$333,'(backend scoring)'!$A$2:$A$333,"")</f>
        <v/>
      </c>
      <c r="J249" s="209" t="str">
        <f>IFERROR(VLOOKUP($I249,'Institution Evaluation'!$A$55:$F$345,2,0),IFERROR(VLOOKUP($I249,'Privacy Analyst Evaluation'!$A$46:$F$120,2,0),""))</f>
        <v/>
      </c>
      <c r="K249" s="209" t="str">
        <f>IFERROR(VLOOKUP($I249,'Institution Evaluation'!$A$55:$F$345,3,0),IFERROR(VLOOKUP($I249,'Privacy Analyst Evaluation'!$A$46:$F$120,3,0),""))&amp;""</f>
        <v/>
      </c>
      <c r="L249" s="209" t="str">
        <f>IFERROR(VLOOKUP($I249,'Institution Evaluation'!$A$55:$F$345,4,0),IFERROR(VLOOKUP($I249,'Privacy Analyst Evaluation'!$A$46:$F$120,4,0),""))&amp;""</f>
        <v/>
      </c>
      <c r="M249" s="209" t="str">
        <f>IFERROR(VLOOKUP($I249,'Institution Evaluation'!$A$55:$F$345,6,0),IFERROR(VLOOKUP($I249,'Privacy Analyst Evaluation'!$A$46:$F$120,6,0),""))&amp;""</f>
        <v/>
      </c>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row>
    <row r="250" spans="1:338" x14ac:dyDescent="0.3">
      <c r="A250" s="209" t="str">
        <f>IFERROR(IF($A249+1&gt;'(backend scoring)'!$T$335,"",$A249+1),"")</f>
        <v/>
      </c>
      <c r="B250" s="209" t="str">
        <f>_xlfn.XLOOKUP($A250,'(backend scoring)'!$V$2:$V$333,'(backend scoring)'!$A$2:$A$333,"")</f>
        <v/>
      </c>
      <c r="C250" s="209" t="str">
        <f>IFERROR(VLOOKUP($B250,'Institution Evaluation'!$A$55:$F$345,2,0),IFERROR(VLOOKUP($B250,'Privacy Analyst Evaluation'!$A$46:$F$120,2,0),""))&amp;""</f>
        <v/>
      </c>
      <c r="D250" s="209" t="str">
        <f>IFERROR(VLOOKUP($B250,'Institution Evaluation'!$A$55:$F$345,3,0),IFERROR(VLOOKUP($B250,'Privacy Analyst Evaluation'!$A$46:$F$120,3,0),""))&amp;""</f>
        <v/>
      </c>
      <c r="E250" s="209" t="str">
        <f>IFERROR(VLOOKUP($B250,'Institution Evaluation'!$A$55:$F$345,4,0),IFERROR(VLOOKUP($B250,'Privacy Analyst Evaluation'!$A$46:$F$120,4,0),""))&amp;""</f>
        <v/>
      </c>
      <c r="F250" s="209" t="str">
        <f>IFERROR(VLOOKUP($B250,'Institution Evaluation'!$A$55:$F$345,6,0),IFERROR(VLOOKUP($B250,'Privacy Analyst Evaluation'!$A$46:$F$120,6,0),""))&amp;""</f>
        <v/>
      </c>
      <c r="G250" s="210"/>
      <c r="H250" s="209" t="str">
        <f>IFERROR(IF($H249+1&gt;'(backend scoring)'!$Q$335,"",$H249+1),"")</f>
        <v/>
      </c>
      <c r="I250" s="209" t="str">
        <f>_xlfn.XLOOKUP($H250,'(backend scoring)'!$S$2:$S$333,'(backend scoring)'!$A$2:$A$333,"")</f>
        <v/>
      </c>
      <c r="J250" s="209" t="str">
        <f>IFERROR(VLOOKUP($I250,'Institution Evaluation'!$A$55:$F$345,2,0),IFERROR(VLOOKUP($I250,'Privacy Analyst Evaluation'!$A$46:$F$120,2,0),""))</f>
        <v/>
      </c>
      <c r="K250" s="209" t="str">
        <f>IFERROR(VLOOKUP($I250,'Institution Evaluation'!$A$55:$F$345,3,0),IFERROR(VLOOKUP($I250,'Privacy Analyst Evaluation'!$A$46:$F$120,3,0),""))&amp;""</f>
        <v/>
      </c>
      <c r="L250" s="209" t="str">
        <f>IFERROR(VLOOKUP($I250,'Institution Evaluation'!$A$55:$F$345,4,0),IFERROR(VLOOKUP($I250,'Privacy Analyst Evaluation'!$A$46:$F$120,4,0),""))&amp;""</f>
        <v/>
      </c>
      <c r="M250" s="209" t="str">
        <f>IFERROR(VLOOKUP($I250,'Institution Evaluation'!$A$55:$F$345,6,0),IFERROR(VLOOKUP($I250,'Privacy Analyst Evaluation'!$A$46:$F$120,6,0),""))&amp;""</f>
        <v/>
      </c>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row>
    <row r="251" spans="1:338" x14ac:dyDescent="0.3">
      <c r="A251" s="209" t="str">
        <f>IFERROR(IF($A250+1&gt;'(backend scoring)'!$T$335,"",$A250+1),"")</f>
        <v/>
      </c>
      <c r="B251" s="209" t="str">
        <f>_xlfn.XLOOKUP($A251,'(backend scoring)'!$V$2:$V$333,'(backend scoring)'!$A$2:$A$333,"")</f>
        <v/>
      </c>
      <c r="C251" s="209" t="str">
        <f>IFERROR(VLOOKUP($B251,'Institution Evaluation'!$A$55:$F$345,2,0),IFERROR(VLOOKUP($B251,'Privacy Analyst Evaluation'!$A$46:$F$120,2,0),""))&amp;""</f>
        <v/>
      </c>
      <c r="D251" s="209" t="str">
        <f>IFERROR(VLOOKUP($B251,'Institution Evaluation'!$A$55:$F$345,3,0),IFERROR(VLOOKUP($B251,'Privacy Analyst Evaluation'!$A$46:$F$120,3,0),""))&amp;""</f>
        <v/>
      </c>
      <c r="E251" s="209" t="str">
        <f>IFERROR(VLOOKUP($B251,'Institution Evaluation'!$A$55:$F$345,4,0),IFERROR(VLOOKUP($B251,'Privacy Analyst Evaluation'!$A$46:$F$120,4,0),""))&amp;""</f>
        <v/>
      </c>
      <c r="F251" s="209" t="str">
        <f>IFERROR(VLOOKUP($B251,'Institution Evaluation'!$A$55:$F$345,6,0),IFERROR(VLOOKUP($B251,'Privacy Analyst Evaluation'!$A$46:$F$120,6,0),""))&amp;""</f>
        <v/>
      </c>
      <c r="G251" s="210"/>
      <c r="H251" s="209" t="str">
        <f>IFERROR(IF($H250+1&gt;'(backend scoring)'!$Q$335,"",$H250+1),"")</f>
        <v/>
      </c>
      <c r="I251" s="209" t="str">
        <f>_xlfn.XLOOKUP($H251,'(backend scoring)'!$S$2:$S$333,'(backend scoring)'!$A$2:$A$333,"")</f>
        <v/>
      </c>
      <c r="J251" s="209" t="str">
        <f>IFERROR(VLOOKUP($I251,'Institution Evaluation'!$A$55:$F$345,2,0),IFERROR(VLOOKUP($I251,'Privacy Analyst Evaluation'!$A$46:$F$120,2,0),""))</f>
        <v/>
      </c>
      <c r="K251" s="209" t="str">
        <f>IFERROR(VLOOKUP($I251,'Institution Evaluation'!$A$55:$F$345,3,0),IFERROR(VLOOKUP($I251,'Privacy Analyst Evaluation'!$A$46:$F$120,3,0),""))&amp;""</f>
        <v/>
      </c>
      <c r="L251" s="209" t="str">
        <f>IFERROR(VLOOKUP($I251,'Institution Evaluation'!$A$55:$F$345,4,0),IFERROR(VLOOKUP($I251,'Privacy Analyst Evaluation'!$A$46:$F$120,4,0),""))&amp;""</f>
        <v/>
      </c>
      <c r="M251" s="209" t="str">
        <f>IFERROR(VLOOKUP($I251,'Institution Evaluation'!$A$55:$F$345,6,0),IFERROR(VLOOKUP($I251,'Privacy Analyst Evaluation'!$A$46:$F$120,6,0),""))&amp;""</f>
        <v/>
      </c>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row>
    <row r="252" spans="1:338" x14ac:dyDescent="0.3">
      <c r="A252" s="209" t="str">
        <f>IFERROR(IF($A251+1&gt;'(backend scoring)'!$T$335,"",$A251+1),"")</f>
        <v/>
      </c>
      <c r="B252" s="209" t="str">
        <f>_xlfn.XLOOKUP($A252,'(backend scoring)'!$V$2:$V$333,'(backend scoring)'!$A$2:$A$333,"")</f>
        <v/>
      </c>
      <c r="C252" s="209" t="str">
        <f>IFERROR(VLOOKUP($B252,'Institution Evaluation'!$A$55:$F$345,2,0),IFERROR(VLOOKUP($B252,'Privacy Analyst Evaluation'!$A$46:$F$120,2,0),""))&amp;""</f>
        <v/>
      </c>
      <c r="D252" s="209" t="str">
        <f>IFERROR(VLOOKUP($B252,'Institution Evaluation'!$A$55:$F$345,3,0),IFERROR(VLOOKUP($B252,'Privacy Analyst Evaluation'!$A$46:$F$120,3,0),""))&amp;""</f>
        <v/>
      </c>
      <c r="E252" s="209" t="str">
        <f>IFERROR(VLOOKUP($B252,'Institution Evaluation'!$A$55:$F$345,4,0),IFERROR(VLOOKUP($B252,'Privacy Analyst Evaluation'!$A$46:$F$120,4,0),""))&amp;""</f>
        <v/>
      </c>
      <c r="F252" s="209" t="str">
        <f>IFERROR(VLOOKUP($B252,'Institution Evaluation'!$A$55:$F$345,6,0),IFERROR(VLOOKUP($B252,'Privacy Analyst Evaluation'!$A$46:$F$120,6,0),""))&amp;""</f>
        <v/>
      </c>
      <c r="G252" s="210"/>
      <c r="H252" s="209" t="str">
        <f>IFERROR(IF($H251+1&gt;'(backend scoring)'!$Q$335,"",$H251+1),"")</f>
        <v/>
      </c>
      <c r="I252" s="209" t="str">
        <f>_xlfn.XLOOKUP($H252,'(backend scoring)'!$S$2:$S$333,'(backend scoring)'!$A$2:$A$333,"")</f>
        <v/>
      </c>
      <c r="J252" s="209" t="str">
        <f>IFERROR(VLOOKUP($I252,'Institution Evaluation'!$A$55:$F$345,2,0),IFERROR(VLOOKUP($I252,'Privacy Analyst Evaluation'!$A$46:$F$120,2,0),""))</f>
        <v/>
      </c>
      <c r="K252" s="209" t="str">
        <f>IFERROR(VLOOKUP($I252,'Institution Evaluation'!$A$55:$F$345,3,0),IFERROR(VLOOKUP($I252,'Privacy Analyst Evaluation'!$A$46:$F$120,3,0),""))&amp;""</f>
        <v/>
      </c>
      <c r="L252" s="209" t="str">
        <f>IFERROR(VLOOKUP($I252,'Institution Evaluation'!$A$55:$F$345,4,0),IFERROR(VLOOKUP($I252,'Privacy Analyst Evaluation'!$A$46:$F$120,4,0),""))&amp;""</f>
        <v/>
      </c>
      <c r="M252" s="209" t="str">
        <f>IFERROR(VLOOKUP($I252,'Institution Evaluation'!$A$55:$F$345,6,0),IFERROR(VLOOKUP($I252,'Privacy Analyst Evaluation'!$A$46:$F$120,6,0),""))&amp;""</f>
        <v/>
      </c>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row>
    <row r="253" spans="1:338" x14ac:dyDescent="0.3">
      <c r="A253" s="209" t="str">
        <f>IFERROR(IF($A252+1&gt;'(backend scoring)'!$T$335,"",$A252+1),"")</f>
        <v/>
      </c>
      <c r="B253" s="209" t="str">
        <f>_xlfn.XLOOKUP($A253,'(backend scoring)'!$V$2:$V$333,'(backend scoring)'!$A$2:$A$333,"")</f>
        <v/>
      </c>
      <c r="C253" s="209" t="str">
        <f>IFERROR(VLOOKUP($B253,'Institution Evaluation'!$A$55:$F$345,2,0),IFERROR(VLOOKUP($B253,'Privacy Analyst Evaluation'!$A$46:$F$120,2,0),""))&amp;""</f>
        <v/>
      </c>
      <c r="D253" s="209" t="str">
        <f>IFERROR(VLOOKUP($B253,'Institution Evaluation'!$A$55:$F$345,3,0),IFERROR(VLOOKUP($B253,'Privacy Analyst Evaluation'!$A$46:$F$120,3,0),""))&amp;""</f>
        <v/>
      </c>
      <c r="E253" s="209" t="str">
        <f>IFERROR(VLOOKUP($B253,'Institution Evaluation'!$A$55:$F$345,4,0),IFERROR(VLOOKUP($B253,'Privacy Analyst Evaluation'!$A$46:$F$120,4,0),""))&amp;""</f>
        <v/>
      </c>
      <c r="F253" s="209" t="str">
        <f>IFERROR(VLOOKUP($B253,'Institution Evaluation'!$A$55:$F$345,6,0),IFERROR(VLOOKUP($B253,'Privacy Analyst Evaluation'!$A$46:$F$120,6,0),""))&amp;""</f>
        <v/>
      </c>
      <c r="G253" s="210"/>
      <c r="H253" s="209" t="str">
        <f>IFERROR(IF($H252+1&gt;'(backend scoring)'!$Q$335,"",$H252+1),"")</f>
        <v/>
      </c>
      <c r="I253" s="209" t="str">
        <f>_xlfn.XLOOKUP($H253,'(backend scoring)'!$S$2:$S$333,'(backend scoring)'!$A$2:$A$333,"")</f>
        <v/>
      </c>
      <c r="J253" s="209" t="str">
        <f>IFERROR(VLOOKUP($I253,'Institution Evaluation'!$A$55:$F$345,2,0),IFERROR(VLOOKUP($I253,'Privacy Analyst Evaluation'!$A$46:$F$120,2,0),""))</f>
        <v/>
      </c>
      <c r="K253" s="209" t="str">
        <f>IFERROR(VLOOKUP($I253,'Institution Evaluation'!$A$55:$F$345,3,0),IFERROR(VLOOKUP($I253,'Privacy Analyst Evaluation'!$A$46:$F$120,3,0),""))&amp;""</f>
        <v/>
      </c>
      <c r="L253" s="209" t="str">
        <f>IFERROR(VLOOKUP($I253,'Institution Evaluation'!$A$55:$F$345,4,0),IFERROR(VLOOKUP($I253,'Privacy Analyst Evaluation'!$A$46:$F$120,4,0),""))&amp;""</f>
        <v/>
      </c>
      <c r="M253" s="209" t="str">
        <f>IFERROR(VLOOKUP($I253,'Institution Evaluation'!$A$55:$F$345,6,0),IFERROR(VLOOKUP($I253,'Privacy Analyst Evaluation'!$A$46:$F$120,6,0),""))&amp;""</f>
        <v/>
      </c>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row>
    <row r="254" spans="1:338" x14ac:dyDescent="0.3">
      <c r="A254" s="209" t="str">
        <f>IFERROR(IF($A253+1&gt;'(backend scoring)'!$T$335,"",$A253+1),"")</f>
        <v/>
      </c>
      <c r="B254" s="209" t="str">
        <f>_xlfn.XLOOKUP($A254,'(backend scoring)'!$V$2:$V$333,'(backend scoring)'!$A$2:$A$333,"")</f>
        <v/>
      </c>
      <c r="C254" s="209" t="str">
        <f>IFERROR(VLOOKUP($B254,'Institution Evaluation'!$A$55:$F$345,2,0),IFERROR(VLOOKUP($B254,'Privacy Analyst Evaluation'!$A$46:$F$120,2,0),""))&amp;""</f>
        <v/>
      </c>
      <c r="D254" s="209" t="str">
        <f>IFERROR(VLOOKUP($B254,'Institution Evaluation'!$A$55:$F$345,3,0),IFERROR(VLOOKUP($B254,'Privacy Analyst Evaluation'!$A$46:$F$120,3,0),""))&amp;""</f>
        <v/>
      </c>
      <c r="E254" s="209" t="str">
        <f>IFERROR(VLOOKUP($B254,'Institution Evaluation'!$A$55:$F$345,4,0),IFERROR(VLOOKUP($B254,'Privacy Analyst Evaluation'!$A$46:$F$120,4,0),""))&amp;""</f>
        <v/>
      </c>
      <c r="F254" s="209" t="str">
        <f>IFERROR(VLOOKUP($B254,'Institution Evaluation'!$A$55:$F$345,6,0),IFERROR(VLOOKUP($B254,'Privacy Analyst Evaluation'!$A$46:$F$120,6,0),""))&amp;""</f>
        <v/>
      </c>
      <c r="G254" s="210"/>
      <c r="H254" s="209" t="str">
        <f>IFERROR(IF($H253+1&gt;'(backend scoring)'!$Q$335,"",$H253+1),"")</f>
        <v/>
      </c>
      <c r="I254" s="209" t="str">
        <f>_xlfn.XLOOKUP($H254,'(backend scoring)'!$S$2:$S$333,'(backend scoring)'!$A$2:$A$333,"")</f>
        <v/>
      </c>
      <c r="J254" s="209" t="str">
        <f>IFERROR(VLOOKUP($I254,'Institution Evaluation'!$A$55:$F$345,2,0),IFERROR(VLOOKUP($I254,'Privacy Analyst Evaluation'!$A$46:$F$120,2,0),""))</f>
        <v/>
      </c>
      <c r="K254" s="209" t="str">
        <f>IFERROR(VLOOKUP($I254,'Institution Evaluation'!$A$55:$F$345,3,0),IFERROR(VLOOKUP($I254,'Privacy Analyst Evaluation'!$A$46:$F$120,3,0),""))&amp;""</f>
        <v/>
      </c>
      <c r="L254" s="209" t="str">
        <f>IFERROR(VLOOKUP($I254,'Institution Evaluation'!$A$55:$F$345,4,0),IFERROR(VLOOKUP($I254,'Privacy Analyst Evaluation'!$A$46:$F$120,4,0),""))&amp;""</f>
        <v/>
      </c>
      <c r="M254" s="209" t="str">
        <f>IFERROR(VLOOKUP($I254,'Institution Evaluation'!$A$55:$F$345,6,0),IFERROR(VLOOKUP($I254,'Privacy Analyst Evaluation'!$A$46:$F$120,6,0),""))&amp;""</f>
        <v/>
      </c>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row>
    <row r="255" spans="1:338" x14ac:dyDescent="0.3">
      <c r="A255" s="209" t="str">
        <f>IFERROR(IF($A254+1&gt;'(backend scoring)'!$T$335,"",$A254+1),"")</f>
        <v/>
      </c>
      <c r="B255" s="209" t="str">
        <f>_xlfn.XLOOKUP($A255,'(backend scoring)'!$V$2:$V$333,'(backend scoring)'!$A$2:$A$333,"")</f>
        <v/>
      </c>
      <c r="C255" s="209" t="str">
        <f>IFERROR(VLOOKUP($B255,'Institution Evaluation'!$A$55:$F$345,2,0),IFERROR(VLOOKUP($B255,'Privacy Analyst Evaluation'!$A$46:$F$120,2,0),""))&amp;""</f>
        <v/>
      </c>
      <c r="D255" s="209" t="str">
        <f>IFERROR(VLOOKUP($B255,'Institution Evaluation'!$A$55:$F$345,3,0),IFERROR(VLOOKUP($B255,'Privacy Analyst Evaluation'!$A$46:$F$120,3,0),""))&amp;""</f>
        <v/>
      </c>
      <c r="E255" s="209" t="str">
        <f>IFERROR(VLOOKUP($B255,'Institution Evaluation'!$A$55:$F$345,4,0),IFERROR(VLOOKUP($B255,'Privacy Analyst Evaluation'!$A$46:$F$120,4,0),""))&amp;""</f>
        <v/>
      </c>
      <c r="F255" s="209" t="str">
        <f>IFERROR(VLOOKUP($B255,'Institution Evaluation'!$A$55:$F$345,6,0),IFERROR(VLOOKUP($B255,'Privacy Analyst Evaluation'!$A$46:$F$120,6,0),""))&amp;""</f>
        <v/>
      </c>
      <c r="G255" s="210"/>
      <c r="H255" s="209" t="str">
        <f>IFERROR(IF($H254+1&gt;'(backend scoring)'!$Q$335,"",$H254+1),"")</f>
        <v/>
      </c>
      <c r="I255" s="209" t="str">
        <f>_xlfn.XLOOKUP($H255,'(backend scoring)'!$S$2:$S$333,'(backend scoring)'!$A$2:$A$333,"")</f>
        <v/>
      </c>
      <c r="J255" s="209" t="str">
        <f>IFERROR(VLOOKUP($I255,'Institution Evaluation'!$A$55:$F$345,2,0),IFERROR(VLOOKUP($I255,'Privacy Analyst Evaluation'!$A$46:$F$120,2,0),""))</f>
        <v/>
      </c>
      <c r="K255" s="209" t="str">
        <f>IFERROR(VLOOKUP($I255,'Institution Evaluation'!$A$55:$F$345,3,0),IFERROR(VLOOKUP($I255,'Privacy Analyst Evaluation'!$A$46:$F$120,3,0),""))&amp;""</f>
        <v/>
      </c>
      <c r="L255" s="209" t="str">
        <f>IFERROR(VLOOKUP($I255,'Institution Evaluation'!$A$55:$F$345,4,0),IFERROR(VLOOKUP($I255,'Privacy Analyst Evaluation'!$A$46:$F$120,4,0),""))&amp;""</f>
        <v/>
      </c>
      <c r="M255" s="209" t="str">
        <f>IFERROR(VLOOKUP($I255,'Institution Evaluation'!$A$55:$F$345,6,0),IFERROR(VLOOKUP($I255,'Privacy Analyst Evaluation'!$A$46:$F$120,6,0),""))&amp;""</f>
        <v/>
      </c>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row>
    <row r="256" spans="1:338" x14ac:dyDescent="0.3">
      <c r="A256" s="209" t="str">
        <f>IFERROR(IF($A255+1&gt;'(backend scoring)'!$T$335,"",$A255+1),"")</f>
        <v/>
      </c>
      <c r="B256" s="209" t="str">
        <f>_xlfn.XLOOKUP($A256,'(backend scoring)'!$V$2:$V$333,'(backend scoring)'!$A$2:$A$333,"")</f>
        <v/>
      </c>
      <c r="C256" s="209" t="str">
        <f>IFERROR(VLOOKUP($B256,'Institution Evaluation'!$A$55:$F$345,2,0),IFERROR(VLOOKUP($B256,'Privacy Analyst Evaluation'!$A$46:$F$120,2,0),""))&amp;""</f>
        <v/>
      </c>
      <c r="D256" s="209" t="str">
        <f>IFERROR(VLOOKUP($B256,'Institution Evaluation'!$A$55:$F$345,3,0),IFERROR(VLOOKUP($B256,'Privacy Analyst Evaluation'!$A$46:$F$120,3,0),""))&amp;""</f>
        <v/>
      </c>
      <c r="E256" s="209" t="str">
        <f>IFERROR(VLOOKUP($B256,'Institution Evaluation'!$A$55:$F$345,4,0),IFERROR(VLOOKUP($B256,'Privacy Analyst Evaluation'!$A$46:$F$120,4,0),""))&amp;""</f>
        <v/>
      </c>
      <c r="F256" s="209" t="str">
        <f>IFERROR(VLOOKUP($B256,'Institution Evaluation'!$A$55:$F$345,6,0),IFERROR(VLOOKUP($B256,'Privacy Analyst Evaluation'!$A$46:$F$120,6,0),""))&amp;""</f>
        <v/>
      </c>
      <c r="G256" s="210"/>
      <c r="H256" s="209" t="str">
        <f>IFERROR(IF($H255+1&gt;'(backend scoring)'!$Q$335,"",$H255+1),"")</f>
        <v/>
      </c>
      <c r="I256" s="209" t="str">
        <f>_xlfn.XLOOKUP($H256,'(backend scoring)'!$S$2:$S$333,'(backend scoring)'!$A$2:$A$333,"")</f>
        <v/>
      </c>
      <c r="J256" s="209" t="str">
        <f>IFERROR(VLOOKUP($I256,'Institution Evaluation'!$A$55:$F$345,2,0),IFERROR(VLOOKUP($I256,'Privacy Analyst Evaluation'!$A$46:$F$120,2,0),""))</f>
        <v/>
      </c>
      <c r="K256" s="209" t="str">
        <f>IFERROR(VLOOKUP($I256,'Institution Evaluation'!$A$55:$F$345,3,0),IFERROR(VLOOKUP($I256,'Privacy Analyst Evaluation'!$A$46:$F$120,3,0),""))&amp;""</f>
        <v/>
      </c>
      <c r="L256" s="209" t="str">
        <f>IFERROR(VLOOKUP($I256,'Institution Evaluation'!$A$55:$F$345,4,0),IFERROR(VLOOKUP($I256,'Privacy Analyst Evaluation'!$A$46:$F$120,4,0),""))&amp;""</f>
        <v/>
      </c>
      <c r="M256" s="209" t="str">
        <f>IFERROR(VLOOKUP($I256,'Institution Evaluation'!$A$55:$F$345,6,0),IFERROR(VLOOKUP($I256,'Privacy Analyst Evaluation'!$A$46:$F$120,6,0),""))&amp;""</f>
        <v/>
      </c>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row>
    <row r="257" spans="1:338" x14ac:dyDescent="0.3">
      <c r="A257" s="209" t="str">
        <f>IFERROR(IF($A256+1&gt;'(backend scoring)'!$T$335,"",$A256+1),"")</f>
        <v/>
      </c>
      <c r="B257" s="209" t="str">
        <f>_xlfn.XLOOKUP($A257,'(backend scoring)'!$V$2:$V$333,'(backend scoring)'!$A$2:$A$333,"")</f>
        <v/>
      </c>
      <c r="C257" s="209" t="str">
        <f>IFERROR(VLOOKUP($B257,'Institution Evaluation'!$A$55:$F$345,2,0),IFERROR(VLOOKUP($B257,'Privacy Analyst Evaluation'!$A$46:$F$120,2,0),""))&amp;""</f>
        <v/>
      </c>
      <c r="D257" s="209" t="str">
        <f>IFERROR(VLOOKUP($B257,'Institution Evaluation'!$A$55:$F$345,3,0),IFERROR(VLOOKUP($B257,'Privacy Analyst Evaluation'!$A$46:$F$120,3,0),""))&amp;""</f>
        <v/>
      </c>
      <c r="E257" s="209" t="str">
        <f>IFERROR(VLOOKUP($B257,'Institution Evaluation'!$A$55:$F$345,4,0),IFERROR(VLOOKUP($B257,'Privacy Analyst Evaluation'!$A$46:$F$120,4,0),""))&amp;""</f>
        <v/>
      </c>
      <c r="F257" s="209" t="str">
        <f>IFERROR(VLOOKUP($B257,'Institution Evaluation'!$A$55:$F$345,6,0),IFERROR(VLOOKUP($B257,'Privacy Analyst Evaluation'!$A$46:$F$120,6,0),""))&amp;""</f>
        <v/>
      </c>
      <c r="G257" s="210"/>
      <c r="H257" s="209" t="str">
        <f>IFERROR(IF($H256+1&gt;'(backend scoring)'!$Q$335,"",$H256+1),"")</f>
        <v/>
      </c>
      <c r="I257" s="209" t="str">
        <f>_xlfn.XLOOKUP($H257,'(backend scoring)'!$S$2:$S$333,'(backend scoring)'!$A$2:$A$333,"")</f>
        <v/>
      </c>
      <c r="J257" s="209" t="str">
        <f>IFERROR(VLOOKUP($I257,'Institution Evaluation'!$A$55:$F$345,2,0),IFERROR(VLOOKUP($I257,'Privacy Analyst Evaluation'!$A$46:$F$120,2,0),""))</f>
        <v/>
      </c>
      <c r="K257" s="209" t="str">
        <f>IFERROR(VLOOKUP($I257,'Institution Evaluation'!$A$55:$F$345,3,0),IFERROR(VLOOKUP($I257,'Privacy Analyst Evaluation'!$A$46:$F$120,3,0),""))&amp;""</f>
        <v/>
      </c>
      <c r="L257" s="209" t="str">
        <f>IFERROR(VLOOKUP($I257,'Institution Evaluation'!$A$55:$F$345,4,0),IFERROR(VLOOKUP($I257,'Privacy Analyst Evaluation'!$A$46:$F$120,4,0),""))&amp;""</f>
        <v/>
      </c>
      <c r="M257" s="209" t="str">
        <f>IFERROR(VLOOKUP($I257,'Institution Evaluation'!$A$55:$F$345,6,0),IFERROR(VLOOKUP($I257,'Privacy Analyst Evaluation'!$A$46:$F$120,6,0),""))&amp;""</f>
        <v/>
      </c>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row>
    <row r="258" spans="1:338" x14ac:dyDescent="0.3">
      <c r="A258" s="209" t="str">
        <f>IFERROR(IF($A257+1&gt;'(backend scoring)'!$T$335,"",$A257+1),"")</f>
        <v/>
      </c>
      <c r="B258" s="209" t="str">
        <f>_xlfn.XLOOKUP($A258,'(backend scoring)'!$V$2:$V$333,'(backend scoring)'!$A$2:$A$333,"")</f>
        <v/>
      </c>
      <c r="C258" s="209" t="str">
        <f>IFERROR(VLOOKUP($B258,'Institution Evaluation'!$A$55:$F$345,2,0),IFERROR(VLOOKUP($B258,'Privacy Analyst Evaluation'!$A$46:$F$120,2,0),""))&amp;""</f>
        <v/>
      </c>
      <c r="D258" s="209" t="str">
        <f>IFERROR(VLOOKUP($B258,'Institution Evaluation'!$A$55:$F$345,3,0),IFERROR(VLOOKUP($B258,'Privacy Analyst Evaluation'!$A$46:$F$120,3,0),""))&amp;""</f>
        <v/>
      </c>
      <c r="E258" s="209" t="str">
        <f>IFERROR(VLOOKUP($B258,'Institution Evaluation'!$A$55:$F$345,4,0),IFERROR(VLOOKUP($B258,'Privacy Analyst Evaluation'!$A$46:$F$120,4,0),""))&amp;""</f>
        <v/>
      </c>
      <c r="F258" s="209" t="str">
        <f>IFERROR(VLOOKUP($B258,'Institution Evaluation'!$A$55:$F$345,6,0),IFERROR(VLOOKUP($B258,'Privacy Analyst Evaluation'!$A$46:$F$120,6,0),""))&amp;""</f>
        <v/>
      </c>
      <c r="G258" s="210"/>
      <c r="H258" s="209" t="str">
        <f>IFERROR(IF($H257+1&gt;'(backend scoring)'!$Q$335,"",$H257+1),"")</f>
        <v/>
      </c>
      <c r="I258" s="209" t="str">
        <f>_xlfn.XLOOKUP($H258,'(backend scoring)'!$S$2:$S$333,'(backend scoring)'!$A$2:$A$333,"")</f>
        <v/>
      </c>
      <c r="J258" s="209" t="str">
        <f>IFERROR(VLOOKUP($I258,'Institution Evaluation'!$A$55:$F$345,2,0),IFERROR(VLOOKUP($I258,'Privacy Analyst Evaluation'!$A$46:$F$120,2,0),""))</f>
        <v/>
      </c>
      <c r="K258" s="209" t="str">
        <f>IFERROR(VLOOKUP($I258,'Institution Evaluation'!$A$55:$F$345,3,0),IFERROR(VLOOKUP($I258,'Privacy Analyst Evaluation'!$A$46:$F$120,3,0),""))&amp;""</f>
        <v/>
      </c>
      <c r="L258" s="209" t="str">
        <f>IFERROR(VLOOKUP($I258,'Institution Evaluation'!$A$55:$F$345,4,0),IFERROR(VLOOKUP($I258,'Privacy Analyst Evaluation'!$A$46:$F$120,4,0),""))&amp;""</f>
        <v/>
      </c>
      <c r="M258" s="209" t="str">
        <f>IFERROR(VLOOKUP($I258,'Institution Evaluation'!$A$55:$F$345,6,0),IFERROR(VLOOKUP($I258,'Privacy Analyst Evaluation'!$A$46:$F$120,6,0),""))&amp;""</f>
        <v/>
      </c>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row>
    <row r="259" spans="1:338" x14ac:dyDescent="0.3">
      <c r="A259" s="209" t="str">
        <f>IFERROR(IF($A258+1&gt;'(backend scoring)'!$T$335,"",$A258+1),"")</f>
        <v/>
      </c>
      <c r="B259" s="209" t="str">
        <f>_xlfn.XLOOKUP($A259,'(backend scoring)'!$V$2:$V$333,'(backend scoring)'!$A$2:$A$333,"")</f>
        <v/>
      </c>
      <c r="C259" s="209" t="str">
        <f>IFERROR(VLOOKUP($B259,'Institution Evaluation'!$A$55:$F$345,2,0),IFERROR(VLOOKUP($B259,'Privacy Analyst Evaluation'!$A$46:$F$120,2,0),""))&amp;""</f>
        <v/>
      </c>
      <c r="D259" s="209" t="str">
        <f>IFERROR(VLOOKUP($B259,'Institution Evaluation'!$A$55:$F$345,3,0),IFERROR(VLOOKUP($B259,'Privacy Analyst Evaluation'!$A$46:$F$120,3,0),""))&amp;""</f>
        <v/>
      </c>
      <c r="E259" s="209" t="str">
        <f>IFERROR(VLOOKUP($B259,'Institution Evaluation'!$A$55:$F$345,4,0),IFERROR(VLOOKUP($B259,'Privacy Analyst Evaluation'!$A$46:$F$120,4,0),""))&amp;""</f>
        <v/>
      </c>
      <c r="F259" s="209" t="str">
        <f>IFERROR(VLOOKUP($B259,'Institution Evaluation'!$A$55:$F$345,6,0),IFERROR(VLOOKUP($B259,'Privacy Analyst Evaluation'!$A$46:$F$120,6,0),""))&amp;""</f>
        <v/>
      </c>
      <c r="G259" s="210"/>
      <c r="H259" s="209" t="str">
        <f>IFERROR(IF($H258+1&gt;'(backend scoring)'!$Q$335,"",$H258+1),"")</f>
        <v/>
      </c>
      <c r="I259" s="209" t="str">
        <f>_xlfn.XLOOKUP($H259,'(backend scoring)'!$S$2:$S$333,'(backend scoring)'!$A$2:$A$333,"")</f>
        <v/>
      </c>
      <c r="J259" s="209" t="str">
        <f>IFERROR(VLOOKUP($I259,'Institution Evaluation'!$A$55:$F$345,2,0),IFERROR(VLOOKUP($I259,'Privacy Analyst Evaluation'!$A$46:$F$120,2,0),""))</f>
        <v/>
      </c>
      <c r="K259" s="209" t="str">
        <f>IFERROR(VLOOKUP($I259,'Institution Evaluation'!$A$55:$F$345,3,0),IFERROR(VLOOKUP($I259,'Privacy Analyst Evaluation'!$A$46:$F$120,3,0),""))&amp;""</f>
        <v/>
      </c>
      <c r="L259" s="209" t="str">
        <f>IFERROR(VLOOKUP($I259,'Institution Evaluation'!$A$55:$F$345,4,0),IFERROR(VLOOKUP($I259,'Privacy Analyst Evaluation'!$A$46:$F$120,4,0),""))&amp;""</f>
        <v/>
      </c>
      <c r="M259" s="209" t="str">
        <f>IFERROR(VLOOKUP($I259,'Institution Evaluation'!$A$55:$F$345,6,0),IFERROR(VLOOKUP($I259,'Privacy Analyst Evaluation'!$A$46:$F$120,6,0),""))&amp;""</f>
        <v/>
      </c>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row>
    <row r="260" spans="1:338" x14ac:dyDescent="0.3">
      <c r="A260" s="209" t="str">
        <f>IFERROR(IF($A259+1&gt;'(backend scoring)'!$T$335,"",$A259+1),"")</f>
        <v/>
      </c>
      <c r="B260" s="209" t="str">
        <f>_xlfn.XLOOKUP($A260,'(backend scoring)'!$V$2:$V$333,'(backend scoring)'!$A$2:$A$333,"")</f>
        <v/>
      </c>
      <c r="C260" s="209" t="str">
        <f>IFERROR(VLOOKUP($B260,'Institution Evaluation'!$A$55:$F$345,2,0),IFERROR(VLOOKUP($B260,'Privacy Analyst Evaluation'!$A$46:$F$120,2,0),""))&amp;""</f>
        <v/>
      </c>
      <c r="D260" s="209" t="str">
        <f>IFERROR(VLOOKUP($B260,'Institution Evaluation'!$A$55:$F$345,3,0),IFERROR(VLOOKUP($B260,'Privacy Analyst Evaluation'!$A$46:$F$120,3,0),""))&amp;""</f>
        <v/>
      </c>
      <c r="E260" s="209" t="str">
        <f>IFERROR(VLOOKUP($B260,'Institution Evaluation'!$A$55:$F$345,4,0),IFERROR(VLOOKUP($B260,'Privacy Analyst Evaluation'!$A$46:$F$120,4,0),""))&amp;""</f>
        <v/>
      </c>
      <c r="F260" s="209" t="str">
        <f>IFERROR(VLOOKUP($B260,'Institution Evaluation'!$A$55:$F$345,6,0),IFERROR(VLOOKUP($B260,'Privacy Analyst Evaluation'!$A$46:$F$120,6,0),""))&amp;""</f>
        <v/>
      </c>
      <c r="G260" s="210"/>
      <c r="H260" s="209" t="str">
        <f>IFERROR(IF($H259+1&gt;'(backend scoring)'!$Q$335,"",$H259+1),"")</f>
        <v/>
      </c>
      <c r="I260" s="209" t="str">
        <f>_xlfn.XLOOKUP($H260,'(backend scoring)'!$S$2:$S$333,'(backend scoring)'!$A$2:$A$333,"")</f>
        <v/>
      </c>
      <c r="J260" s="209" t="str">
        <f>IFERROR(VLOOKUP($I260,'Institution Evaluation'!$A$55:$F$345,2,0),IFERROR(VLOOKUP($I260,'Privacy Analyst Evaluation'!$A$46:$F$120,2,0),""))</f>
        <v/>
      </c>
      <c r="K260" s="209" t="str">
        <f>IFERROR(VLOOKUP($I260,'Institution Evaluation'!$A$55:$F$345,3,0),IFERROR(VLOOKUP($I260,'Privacy Analyst Evaluation'!$A$46:$F$120,3,0),""))&amp;""</f>
        <v/>
      </c>
      <c r="L260" s="209" t="str">
        <f>IFERROR(VLOOKUP($I260,'Institution Evaluation'!$A$55:$F$345,4,0),IFERROR(VLOOKUP($I260,'Privacy Analyst Evaluation'!$A$46:$F$120,4,0),""))&amp;""</f>
        <v/>
      </c>
      <c r="M260" s="209" t="str">
        <f>IFERROR(VLOOKUP($I260,'Institution Evaluation'!$A$55:$F$345,6,0),IFERROR(VLOOKUP($I260,'Privacy Analyst Evaluation'!$A$46:$F$120,6,0),""))&amp;""</f>
        <v/>
      </c>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row>
    <row r="261" spans="1:338" x14ac:dyDescent="0.3">
      <c r="A261" s="209" t="str">
        <f>IFERROR(IF($A260+1&gt;'(backend scoring)'!$T$335,"",$A260+1),"")</f>
        <v/>
      </c>
      <c r="B261" s="209" t="str">
        <f>_xlfn.XLOOKUP($A261,'(backend scoring)'!$V$2:$V$333,'(backend scoring)'!$A$2:$A$333,"")</f>
        <v/>
      </c>
      <c r="C261" s="209" t="str">
        <f>IFERROR(VLOOKUP($B261,'Institution Evaluation'!$A$55:$F$345,2,0),IFERROR(VLOOKUP($B261,'Privacy Analyst Evaluation'!$A$46:$F$120,2,0),""))&amp;""</f>
        <v/>
      </c>
      <c r="D261" s="209" t="str">
        <f>IFERROR(VLOOKUP($B261,'Institution Evaluation'!$A$55:$F$345,3,0),IFERROR(VLOOKUP($B261,'Privacy Analyst Evaluation'!$A$46:$F$120,3,0),""))&amp;""</f>
        <v/>
      </c>
      <c r="E261" s="209" t="str">
        <f>IFERROR(VLOOKUP($B261,'Institution Evaluation'!$A$55:$F$345,4,0),IFERROR(VLOOKUP($B261,'Privacy Analyst Evaluation'!$A$46:$F$120,4,0),""))&amp;""</f>
        <v/>
      </c>
      <c r="F261" s="209" t="str">
        <f>IFERROR(VLOOKUP($B261,'Institution Evaluation'!$A$55:$F$345,6,0),IFERROR(VLOOKUP($B261,'Privacy Analyst Evaluation'!$A$46:$F$120,6,0),""))&amp;""</f>
        <v/>
      </c>
      <c r="G261" s="210"/>
      <c r="H261" s="209" t="str">
        <f>IFERROR(IF($H260+1&gt;'(backend scoring)'!$Q$335,"",$H260+1),"")</f>
        <v/>
      </c>
      <c r="I261" s="209" t="str">
        <f>_xlfn.XLOOKUP($H261,'(backend scoring)'!$S$2:$S$333,'(backend scoring)'!$A$2:$A$333,"")</f>
        <v/>
      </c>
      <c r="J261" s="209" t="str">
        <f>IFERROR(VLOOKUP($I261,'Institution Evaluation'!$A$55:$F$345,2,0),IFERROR(VLOOKUP($I261,'Privacy Analyst Evaluation'!$A$46:$F$120,2,0),""))</f>
        <v/>
      </c>
      <c r="K261" s="209" t="str">
        <f>IFERROR(VLOOKUP($I261,'Institution Evaluation'!$A$55:$F$345,3,0),IFERROR(VLOOKUP($I261,'Privacy Analyst Evaluation'!$A$46:$F$120,3,0),""))&amp;""</f>
        <v/>
      </c>
      <c r="L261" s="209" t="str">
        <f>IFERROR(VLOOKUP($I261,'Institution Evaluation'!$A$55:$F$345,4,0),IFERROR(VLOOKUP($I261,'Privacy Analyst Evaluation'!$A$46:$F$120,4,0),""))&amp;""</f>
        <v/>
      </c>
      <c r="M261" s="209" t="str">
        <f>IFERROR(VLOOKUP($I261,'Institution Evaluation'!$A$55:$F$345,6,0),IFERROR(VLOOKUP($I261,'Privacy Analyst Evaluation'!$A$46:$F$120,6,0),""))&amp;""</f>
        <v/>
      </c>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row>
    <row r="262" spans="1:338" x14ac:dyDescent="0.3">
      <c r="A262" s="209" t="str">
        <f>IFERROR(IF($A261+1&gt;'(backend scoring)'!$T$335,"",$A261+1),"")</f>
        <v/>
      </c>
      <c r="B262" s="209" t="str">
        <f>_xlfn.XLOOKUP($A262,'(backend scoring)'!$V$2:$V$333,'(backend scoring)'!$A$2:$A$333,"")</f>
        <v/>
      </c>
      <c r="C262" s="209" t="str">
        <f>IFERROR(VLOOKUP($B262,'Institution Evaluation'!$A$55:$F$345,2,0),IFERROR(VLOOKUP($B262,'Privacy Analyst Evaluation'!$A$46:$F$120,2,0),""))&amp;""</f>
        <v/>
      </c>
      <c r="D262" s="209" t="str">
        <f>IFERROR(VLOOKUP($B262,'Institution Evaluation'!$A$55:$F$345,3,0),IFERROR(VLOOKUP($B262,'Privacy Analyst Evaluation'!$A$46:$F$120,3,0),""))&amp;""</f>
        <v/>
      </c>
      <c r="E262" s="209" t="str">
        <f>IFERROR(VLOOKUP($B262,'Institution Evaluation'!$A$55:$F$345,4,0),IFERROR(VLOOKUP($B262,'Privacy Analyst Evaluation'!$A$46:$F$120,4,0),""))&amp;""</f>
        <v/>
      </c>
      <c r="F262" s="209" t="str">
        <f>IFERROR(VLOOKUP($B262,'Institution Evaluation'!$A$55:$F$345,6,0),IFERROR(VLOOKUP($B262,'Privacy Analyst Evaluation'!$A$46:$F$120,6,0),""))&amp;""</f>
        <v/>
      </c>
      <c r="G262" s="210"/>
      <c r="H262" s="209" t="str">
        <f>IFERROR(IF($H261+1&gt;'(backend scoring)'!$Q$335,"",$H261+1),"")</f>
        <v/>
      </c>
      <c r="I262" s="209" t="str">
        <f>_xlfn.XLOOKUP($H262,'(backend scoring)'!$S$2:$S$333,'(backend scoring)'!$A$2:$A$333,"")</f>
        <v/>
      </c>
      <c r="J262" s="209" t="str">
        <f>IFERROR(VLOOKUP($I262,'Institution Evaluation'!$A$55:$F$345,2,0),IFERROR(VLOOKUP($I262,'Privacy Analyst Evaluation'!$A$46:$F$120,2,0),""))</f>
        <v/>
      </c>
      <c r="K262" s="209" t="str">
        <f>IFERROR(VLOOKUP($I262,'Institution Evaluation'!$A$55:$F$345,3,0),IFERROR(VLOOKUP($I262,'Privacy Analyst Evaluation'!$A$46:$F$120,3,0),""))&amp;""</f>
        <v/>
      </c>
      <c r="L262" s="209" t="str">
        <f>IFERROR(VLOOKUP($I262,'Institution Evaluation'!$A$55:$F$345,4,0),IFERROR(VLOOKUP($I262,'Privacy Analyst Evaluation'!$A$46:$F$120,4,0),""))&amp;""</f>
        <v/>
      </c>
      <c r="M262" s="209" t="str">
        <f>IFERROR(VLOOKUP($I262,'Institution Evaluation'!$A$55:$F$345,6,0),IFERROR(VLOOKUP($I262,'Privacy Analyst Evaluation'!$A$46:$F$120,6,0),""))&amp;""</f>
        <v/>
      </c>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row>
    <row r="263" spans="1:338" x14ac:dyDescent="0.3">
      <c r="A263" s="209" t="str">
        <f>IFERROR(IF($A262+1&gt;'(backend scoring)'!$T$335,"",$A262+1),"")</f>
        <v/>
      </c>
      <c r="B263" s="209" t="str">
        <f>_xlfn.XLOOKUP($A263,'(backend scoring)'!$V$2:$V$333,'(backend scoring)'!$A$2:$A$333,"")</f>
        <v/>
      </c>
      <c r="C263" s="209" t="str">
        <f>IFERROR(VLOOKUP($B263,'Institution Evaluation'!$A$55:$F$345,2,0),IFERROR(VLOOKUP($B263,'Privacy Analyst Evaluation'!$A$46:$F$120,2,0),""))&amp;""</f>
        <v/>
      </c>
      <c r="D263" s="209" t="str">
        <f>IFERROR(VLOOKUP($B263,'Institution Evaluation'!$A$55:$F$345,3,0),IFERROR(VLOOKUP($B263,'Privacy Analyst Evaluation'!$A$46:$F$120,3,0),""))&amp;""</f>
        <v/>
      </c>
      <c r="E263" s="209" t="str">
        <f>IFERROR(VLOOKUP($B263,'Institution Evaluation'!$A$55:$F$345,4,0),IFERROR(VLOOKUP($B263,'Privacy Analyst Evaluation'!$A$46:$F$120,4,0),""))&amp;""</f>
        <v/>
      </c>
      <c r="F263" s="209" t="str">
        <f>IFERROR(VLOOKUP($B263,'Institution Evaluation'!$A$55:$F$345,6,0),IFERROR(VLOOKUP($B263,'Privacy Analyst Evaluation'!$A$46:$F$120,6,0),""))&amp;""</f>
        <v/>
      </c>
      <c r="G263" s="210"/>
      <c r="H263" s="209" t="str">
        <f>IFERROR(IF($H262+1&gt;'(backend scoring)'!$Q$335,"",$H262+1),"")</f>
        <v/>
      </c>
      <c r="I263" s="209" t="str">
        <f>_xlfn.XLOOKUP($H263,'(backend scoring)'!$S$2:$S$333,'(backend scoring)'!$A$2:$A$333,"")</f>
        <v/>
      </c>
      <c r="J263" s="209" t="str">
        <f>IFERROR(VLOOKUP($I263,'Institution Evaluation'!$A$55:$F$345,2,0),IFERROR(VLOOKUP($I263,'Privacy Analyst Evaluation'!$A$46:$F$120,2,0),""))</f>
        <v/>
      </c>
      <c r="K263" s="209" t="str">
        <f>IFERROR(VLOOKUP($I263,'Institution Evaluation'!$A$55:$F$345,3,0),IFERROR(VLOOKUP($I263,'Privacy Analyst Evaluation'!$A$46:$F$120,3,0),""))&amp;""</f>
        <v/>
      </c>
      <c r="L263" s="209" t="str">
        <f>IFERROR(VLOOKUP($I263,'Institution Evaluation'!$A$55:$F$345,4,0),IFERROR(VLOOKUP($I263,'Privacy Analyst Evaluation'!$A$46:$F$120,4,0),""))&amp;""</f>
        <v/>
      </c>
      <c r="M263" s="209" t="str">
        <f>IFERROR(VLOOKUP($I263,'Institution Evaluation'!$A$55:$F$345,6,0),IFERROR(VLOOKUP($I263,'Privacy Analyst Evaluation'!$A$46:$F$120,6,0),""))&amp;""</f>
        <v/>
      </c>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row>
    <row r="264" spans="1:338" x14ac:dyDescent="0.3">
      <c r="A264" s="209" t="str">
        <f>IFERROR(IF($A263+1&gt;'(backend scoring)'!$T$335,"",$A263+1),"")</f>
        <v/>
      </c>
      <c r="B264" s="209" t="str">
        <f>_xlfn.XLOOKUP($A264,'(backend scoring)'!$V$2:$V$333,'(backend scoring)'!$A$2:$A$333,"")</f>
        <v/>
      </c>
      <c r="C264" s="209" t="str">
        <f>IFERROR(VLOOKUP($B264,'Institution Evaluation'!$A$55:$F$345,2,0),IFERROR(VLOOKUP($B264,'Privacy Analyst Evaluation'!$A$46:$F$120,2,0),""))&amp;""</f>
        <v/>
      </c>
      <c r="D264" s="209" t="str">
        <f>IFERROR(VLOOKUP($B264,'Institution Evaluation'!$A$55:$F$345,3,0),IFERROR(VLOOKUP($B264,'Privacy Analyst Evaluation'!$A$46:$F$120,3,0),""))&amp;""</f>
        <v/>
      </c>
      <c r="E264" s="209" t="str">
        <f>IFERROR(VLOOKUP($B264,'Institution Evaluation'!$A$55:$F$345,4,0),IFERROR(VLOOKUP($B264,'Privacy Analyst Evaluation'!$A$46:$F$120,4,0),""))&amp;""</f>
        <v/>
      </c>
      <c r="F264" s="209" t="str">
        <f>IFERROR(VLOOKUP($B264,'Institution Evaluation'!$A$55:$F$345,6,0),IFERROR(VLOOKUP($B264,'Privacy Analyst Evaluation'!$A$46:$F$120,6,0),""))&amp;""</f>
        <v/>
      </c>
      <c r="G264" s="210"/>
      <c r="H264" s="209" t="str">
        <f>IFERROR(IF($H263+1&gt;'(backend scoring)'!$Q$335,"",$H263+1),"")</f>
        <v/>
      </c>
      <c r="I264" s="209" t="str">
        <f>_xlfn.XLOOKUP($H264,'(backend scoring)'!$S$2:$S$333,'(backend scoring)'!$A$2:$A$333,"")</f>
        <v/>
      </c>
      <c r="J264" s="209" t="str">
        <f>IFERROR(VLOOKUP($I264,'Institution Evaluation'!$A$55:$F$345,2,0),IFERROR(VLOOKUP($I264,'Privacy Analyst Evaluation'!$A$46:$F$120,2,0),""))</f>
        <v/>
      </c>
      <c r="K264" s="209" t="str">
        <f>IFERROR(VLOOKUP($I264,'Institution Evaluation'!$A$55:$F$345,3,0),IFERROR(VLOOKUP($I264,'Privacy Analyst Evaluation'!$A$46:$F$120,3,0),""))&amp;""</f>
        <v/>
      </c>
      <c r="L264" s="209" t="str">
        <f>IFERROR(VLOOKUP($I264,'Institution Evaluation'!$A$55:$F$345,4,0),IFERROR(VLOOKUP($I264,'Privacy Analyst Evaluation'!$A$46:$F$120,4,0),""))&amp;""</f>
        <v/>
      </c>
      <c r="M264" s="209" t="str">
        <f>IFERROR(VLOOKUP($I264,'Institution Evaluation'!$A$55:$F$345,6,0),IFERROR(VLOOKUP($I264,'Privacy Analyst Evaluation'!$A$46:$F$120,6,0),""))&amp;""</f>
        <v/>
      </c>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row>
    <row r="265" spans="1:338" x14ac:dyDescent="0.3">
      <c r="A265" s="209" t="str">
        <f>IFERROR(IF($A264+1&gt;'(backend scoring)'!$T$335,"",$A264+1),"")</f>
        <v/>
      </c>
      <c r="B265" s="209" t="str">
        <f>_xlfn.XLOOKUP($A265,'(backend scoring)'!$V$2:$V$333,'(backend scoring)'!$A$2:$A$333,"")</f>
        <v/>
      </c>
      <c r="C265" s="209" t="str">
        <f>IFERROR(VLOOKUP($B265,'Institution Evaluation'!$A$55:$F$345,2,0),IFERROR(VLOOKUP($B265,'Privacy Analyst Evaluation'!$A$46:$F$120,2,0),""))&amp;""</f>
        <v/>
      </c>
      <c r="D265" s="209" t="str">
        <f>IFERROR(VLOOKUP($B265,'Institution Evaluation'!$A$55:$F$345,3,0),IFERROR(VLOOKUP($B265,'Privacy Analyst Evaluation'!$A$46:$F$120,3,0),""))&amp;""</f>
        <v/>
      </c>
      <c r="E265" s="209" t="str">
        <f>IFERROR(VLOOKUP($B265,'Institution Evaluation'!$A$55:$F$345,4,0),IFERROR(VLOOKUP($B265,'Privacy Analyst Evaluation'!$A$46:$F$120,4,0),""))&amp;""</f>
        <v/>
      </c>
      <c r="F265" s="209" t="str">
        <f>IFERROR(VLOOKUP($B265,'Institution Evaluation'!$A$55:$F$345,6,0),IFERROR(VLOOKUP($B265,'Privacy Analyst Evaluation'!$A$46:$F$120,6,0),""))&amp;""</f>
        <v/>
      </c>
      <c r="G265" s="210"/>
      <c r="H265" s="209" t="str">
        <f>IFERROR(IF($H264+1&gt;'(backend scoring)'!$Q$335,"",$H264+1),"")</f>
        <v/>
      </c>
      <c r="I265" s="209" t="str">
        <f>_xlfn.XLOOKUP($H265,'(backend scoring)'!$S$2:$S$333,'(backend scoring)'!$A$2:$A$333,"")</f>
        <v/>
      </c>
      <c r="J265" s="209" t="str">
        <f>IFERROR(VLOOKUP($I265,'Institution Evaluation'!$A$55:$F$345,2,0),IFERROR(VLOOKUP($I265,'Privacy Analyst Evaluation'!$A$46:$F$120,2,0),""))</f>
        <v/>
      </c>
      <c r="K265" s="209" t="str">
        <f>IFERROR(VLOOKUP($I265,'Institution Evaluation'!$A$55:$F$345,3,0),IFERROR(VLOOKUP($I265,'Privacy Analyst Evaluation'!$A$46:$F$120,3,0),""))&amp;""</f>
        <v/>
      </c>
      <c r="L265" s="209" t="str">
        <f>IFERROR(VLOOKUP($I265,'Institution Evaluation'!$A$55:$F$345,4,0),IFERROR(VLOOKUP($I265,'Privacy Analyst Evaluation'!$A$46:$F$120,4,0),""))&amp;""</f>
        <v/>
      </c>
      <c r="M265" s="209" t="str">
        <f>IFERROR(VLOOKUP($I265,'Institution Evaluation'!$A$55:$F$345,6,0),IFERROR(VLOOKUP($I265,'Privacy Analyst Evaluation'!$A$46:$F$120,6,0),""))&amp;""</f>
        <v/>
      </c>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row>
    <row r="266" spans="1:338" x14ac:dyDescent="0.3">
      <c r="A266" s="209" t="str">
        <f>IFERROR(IF($A265+1&gt;'(backend scoring)'!$T$335,"",$A265+1),"")</f>
        <v/>
      </c>
      <c r="B266" s="209" t="str">
        <f>_xlfn.XLOOKUP($A266,'(backend scoring)'!$V$2:$V$333,'(backend scoring)'!$A$2:$A$333,"")</f>
        <v/>
      </c>
      <c r="C266" s="209" t="str">
        <f>IFERROR(VLOOKUP($B266,'Institution Evaluation'!$A$55:$F$345,2,0),IFERROR(VLOOKUP($B266,'Privacy Analyst Evaluation'!$A$46:$F$120,2,0),""))&amp;""</f>
        <v/>
      </c>
      <c r="D266" s="209" t="str">
        <f>IFERROR(VLOOKUP($B266,'Institution Evaluation'!$A$55:$F$345,3,0),IFERROR(VLOOKUP($B266,'Privacy Analyst Evaluation'!$A$46:$F$120,3,0),""))&amp;""</f>
        <v/>
      </c>
      <c r="E266" s="209" t="str">
        <f>IFERROR(VLOOKUP($B266,'Institution Evaluation'!$A$55:$F$345,4,0),IFERROR(VLOOKUP($B266,'Privacy Analyst Evaluation'!$A$46:$F$120,4,0),""))&amp;""</f>
        <v/>
      </c>
      <c r="F266" s="209" t="str">
        <f>IFERROR(VLOOKUP($B266,'Institution Evaluation'!$A$55:$F$345,6,0),IFERROR(VLOOKUP($B266,'Privacy Analyst Evaluation'!$A$46:$F$120,6,0),""))&amp;""</f>
        <v/>
      </c>
      <c r="G266" s="210"/>
      <c r="H266" s="209" t="str">
        <f>IFERROR(IF($H265+1&gt;'(backend scoring)'!$Q$335,"",$H265+1),"")</f>
        <v/>
      </c>
      <c r="I266" s="209" t="str">
        <f>_xlfn.XLOOKUP($H266,'(backend scoring)'!$S$2:$S$333,'(backend scoring)'!$A$2:$A$333,"")</f>
        <v/>
      </c>
      <c r="J266" s="209" t="str">
        <f>IFERROR(VLOOKUP($I266,'Institution Evaluation'!$A$55:$F$345,2,0),IFERROR(VLOOKUP($I266,'Privacy Analyst Evaluation'!$A$46:$F$120,2,0),""))</f>
        <v/>
      </c>
      <c r="K266" s="209" t="str">
        <f>IFERROR(VLOOKUP($I266,'Institution Evaluation'!$A$55:$F$345,3,0),IFERROR(VLOOKUP($I266,'Privacy Analyst Evaluation'!$A$46:$F$120,3,0),""))&amp;""</f>
        <v/>
      </c>
      <c r="L266" s="209" t="str">
        <f>IFERROR(VLOOKUP($I266,'Institution Evaluation'!$A$55:$F$345,4,0),IFERROR(VLOOKUP($I266,'Privacy Analyst Evaluation'!$A$46:$F$120,4,0),""))&amp;""</f>
        <v/>
      </c>
      <c r="M266" s="209" t="str">
        <f>IFERROR(VLOOKUP($I266,'Institution Evaluation'!$A$55:$F$345,6,0),IFERROR(VLOOKUP($I266,'Privacy Analyst Evaluation'!$A$46:$F$120,6,0),""))&amp;""</f>
        <v/>
      </c>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row>
    <row r="267" spans="1:338" x14ac:dyDescent="0.3">
      <c r="A267" s="209" t="str">
        <f>IFERROR(IF($A266+1&gt;'(backend scoring)'!$T$335,"",$A266+1),"")</f>
        <v/>
      </c>
      <c r="B267" s="209" t="str">
        <f>_xlfn.XLOOKUP($A267,'(backend scoring)'!$V$2:$V$333,'(backend scoring)'!$A$2:$A$333,"")</f>
        <v/>
      </c>
      <c r="C267" s="209" t="str">
        <f>IFERROR(VLOOKUP($B267,'Institution Evaluation'!$A$55:$F$345,2,0),IFERROR(VLOOKUP($B267,'Privacy Analyst Evaluation'!$A$46:$F$120,2,0),""))&amp;""</f>
        <v/>
      </c>
      <c r="D267" s="209" t="str">
        <f>IFERROR(VLOOKUP($B267,'Institution Evaluation'!$A$55:$F$345,3,0),IFERROR(VLOOKUP($B267,'Privacy Analyst Evaluation'!$A$46:$F$120,3,0),""))&amp;""</f>
        <v/>
      </c>
      <c r="E267" s="209" t="str">
        <f>IFERROR(VLOOKUP($B267,'Institution Evaluation'!$A$55:$F$345,4,0),IFERROR(VLOOKUP($B267,'Privacy Analyst Evaluation'!$A$46:$F$120,4,0),""))&amp;""</f>
        <v/>
      </c>
      <c r="F267" s="209" t="str">
        <f>IFERROR(VLOOKUP($B267,'Institution Evaluation'!$A$55:$F$345,6,0),IFERROR(VLOOKUP($B267,'Privacy Analyst Evaluation'!$A$46:$F$120,6,0),""))&amp;""</f>
        <v/>
      </c>
      <c r="G267" s="210"/>
      <c r="H267" s="209" t="str">
        <f>IFERROR(IF($H266+1&gt;'(backend scoring)'!$Q$335,"",$H266+1),"")</f>
        <v/>
      </c>
      <c r="I267" s="209" t="str">
        <f>_xlfn.XLOOKUP($H267,'(backend scoring)'!$S$2:$S$333,'(backend scoring)'!$A$2:$A$333,"")</f>
        <v/>
      </c>
      <c r="J267" s="209" t="str">
        <f>IFERROR(VLOOKUP($I267,'Institution Evaluation'!$A$55:$F$345,2,0),IFERROR(VLOOKUP($I267,'Privacy Analyst Evaluation'!$A$46:$F$120,2,0),""))</f>
        <v/>
      </c>
      <c r="K267" s="209" t="str">
        <f>IFERROR(VLOOKUP($I267,'Institution Evaluation'!$A$55:$F$345,3,0),IFERROR(VLOOKUP($I267,'Privacy Analyst Evaluation'!$A$46:$F$120,3,0),""))&amp;""</f>
        <v/>
      </c>
      <c r="L267" s="209" t="str">
        <f>IFERROR(VLOOKUP($I267,'Institution Evaluation'!$A$55:$F$345,4,0),IFERROR(VLOOKUP($I267,'Privacy Analyst Evaluation'!$A$46:$F$120,4,0),""))&amp;""</f>
        <v/>
      </c>
      <c r="M267" s="209" t="str">
        <f>IFERROR(VLOOKUP($I267,'Institution Evaluation'!$A$55:$F$345,6,0),IFERROR(VLOOKUP($I267,'Privacy Analyst Evaluation'!$A$46:$F$120,6,0),""))&amp;""</f>
        <v/>
      </c>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row>
    <row r="268" spans="1:338" x14ac:dyDescent="0.3">
      <c r="A268" s="209" t="str">
        <f>IFERROR(IF($A267+1&gt;'(backend scoring)'!$T$335,"",$A267+1),"")</f>
        <v/>
      </c>
      <c r="B268" s="209" t="str">
        <f>_xlfn.XLOOKUP($A268,'(backend scoring)'!$V$2:$V$333,'(backend scoring)'!$A$2:$A$333,"")</f>
        <v/>
      </c>
      <c r="C268" s="209" t="str">
        <f>IFERROR(VLOOKUP($B268,'Institution Evaluation'!$A$55:$F$345,2,0),IFERROR(VLOOKUP($B268,'Privacy Analyst Evaluation'!$A$46:$F$120,2,0),""))&amp;""</f>
        <v/>
      </c>
      <c r="D268" s="209" t="str">
        <f>IFERROR(VLOOKUP($B268,'Institution Evaluation'!$A$55:$F$345,3,0),IFERROR(VLOOKUP($B268,'Privacy Analyst Evaluation'!$A$46:$F$120,3,0),""))&amp;""</f>
        <v/>
      </c>
      <c r="E268" s="209" t="str">
        <f>IFERROR(VLOOKUP($B268,'Institution Evaluation'!$A$55:$F$345,4,0),IFERROR(VLOOKUP($B268,'Privacy Analyst Evaluation'!$A$46:$F$120,4,0),""))&amp;""</f>
        <v/>
      </c>
      <c r="F268" s="209" t="str">
        <f>IFERROR(VLOOKUP($B268,'Institution Evaluation'!$A$55:$F$345,6,0),IFERROR(VLOOKUP($B268,'Privacy Analyst Evaluation'!$A$46:$F$120,6,0),""))&amp;""</f>
        <v/>
      </c>
      <c r="G268" s="210"/>
      <c r="H268" s="209" t="str">
        <f>IFERROR(IF($H267+1&gt;'(backend scoring)'!$Q$335,"",$H267+1),"")</f>
        <v/>
      </c>
      <c r="I268" s="209" t="str">
        <f>_xlfn.XLOOKUP($H268,'(backend scoring)'!$S$2:$S$333,'(backend scoring)'!$A$2:$A$333,"")</f>
        <v/>
      </c>
      <c r="J268" s="209" t="str">
        <f>IFERROR(VLOOKUP($I268,'Institution Evaluation'!$A$55:$F$345,2,0),IFERROR(VLOOKUP($I268,'Privacy Analyst Evaluation'!$A$46:$F$120,2,0),""))</f>
        <v/>
      </c>
      <c r="K268" s="209" t="str">
        <f>IFERROR(VLOOKUP($I268,'Institution Evaluation'!$A$55:$F$345,3,0),IFERROR(VLOOKUP($I268,'Privacy Analyst Evaluation'!$A$46:$F$120,3,0),""))&amp;""</f>
        <v/>
      </c>
      <c r="L268" s="209" t="str">
        <f>IFERROR(VLOOKUP($I268,'Institution Evaluation'!$A$55:$F$345,4,0),IFERROR(VLOOKUP($I268,'Privacy Analyst Evaluation'!$A$46:$F$120,4,0),""))&amp;""</f>
        <v/>
      </c>
      <c r="M268" s="209" t="str">
        <f>IFERROR(VLOOKUP($I268,'Institution Evaluation'!$A$55:$F$345,6,0),IFERROR(VLOOKUP($I268,'Privacy Analyst Evaluation'!$A$46:$F$120,6,0),""))&amp;""</f>
        <v/>
      </c>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row>
    <row r="269" spans="1:338" x14ac:dyDescent="0.3">
      <c r="A269" s="209" t="str">
        <f>IFERROR(IF($A268+1&gt;'(backend scoring)'!$T$335,"",$A268+1),"")</f>
        <v/>
      </c>
      <c r="B269" s="209" t="str">
        <f>_xlfn.XLOOKUP($A269,'(backend scoring)'!$V$2:$V$333,'(backend scoring)'!$A$2:$A$333,"")</f>
        <v/>
      </c>
      <c r="C269" s="209" t="str">
        <f>IFERROR(VLOOKUP($B269,'Institution Evaluation'!$A$55:$F$345,2,0),IFERROR(VLOOKUP($B269,'Privacy Analyst Evaluation'!$A$46:$F$120,2,0),""))&amp;""</f>
        <v/>
      </c>
      <c r="D269" s="209" t="str">
        <f>IFERROR(VLOOKUP($B269,'Institution Evaluation'!$A$55:$F$345,3,0),IFERROR(VLOOKUP($B269,'Privacy Analyst Evaluation'!$A$46:$F$120,3,0),""))&amp;""</f>
        <v/>
      </c>
      <c r="E269" s="209" t="str">
        <f>IFERROR(VLOOKUP($B269,'Institution Evaluation'!$A$55:$F$345,4,0),IFERROR(VLOOKUP($B269,'Privacy Analyst Evaluation'!$A$46:$F$120,4,0),""))&amp;""</f>
        <v/>
      </c>
      <c r="F269" s="209" t="str">
        <f>IFERROR(VLOOKUP($B269,'Institution Evaluation'!$A$55:$F$345,6,0),IFERROR(VLOOKUP($B269,'Privacy Analyst Evaluation'!$A$46:$F$120,6,0),""))&amp;""</f>
        <v/>
      </c>
      <c r="G269" s="210"/>
      <c r="H269" s="209" t="str">
        <f>IFERROR(IF($H268+1&gt;'(backend scoring)'!$Q$335,"",$H268+1),"")</f>
        <v/>
      </c>
      <c r="I269" s="209" t="str">
        <f>_xlfn.XLOOKUP($H269,'(backend scoring)'!$S$2:$S$333,'(backend scoring)'!$A$2:$A$333,"")</f>
        <v/>
      </c>
      <c r="J269" s="209" t="str">
        <f>IFERROR(VLOOKUP($I269,'Institution Evaluation'!$A$55:$F$345,2,0),IFERROR(VLOOKUP($I269,'Privacy Analyst Evaluation'!$A$46:$F$120,2,0),""))</f>
        <v/>
      </c>
      <c r="K269" s="209" t="str">
        <f>IFERROR(VLOOKUP($I269,'Institution Evaluation'!$A$55:$F$345,3,0),IFERROR(VLOOKUP($I269,'Privacy Analyst Evaluation'!$A$46:$F$120,3,0),""))&amp;""</f>
        <v/>
      </c>
      <c r="L269" s="209" t="str">
        <f>IFERROR(VLOOKUP($I269,'Institution Evaluation'!$A$55:$F$345,4,0),IFERROR(VLOOKUP($I269,'Privacy Analyst Evaluation'!$A$46:$F$120,4,0),""))&amp;""</f>
        <v/>
      </c>
      <c r="M269" s="209" t="str">
        <f>IFERROR(VLOOKUP($I269,'Institution Evaluation'!$A$55:$F$345,6,0),IFERROR(VLOOKUP($I269,'Privacy Analyst Evaluation'!$A$46:$F$120,6,0),""))&amp;""</f>
        <v/>
      </c>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row>
    <row r="270" spans="1:338" x14ac:dyDescent="0.3">
      <c r="A270" s="209" t="str">
        <f>IFERROR(IF($A269+1&gt;'(backend scoring)'!$T$335,"",$A269+1),"")</f>
        <v/>
      </c>
      <c r="B270" s="209" t="str">
        <f>_xlfn.XLOOKUP($A270,'(backend scoring)'!$V$2:$V$333,'(backend scoring)'!$A$2:$A$333,"")</f>
        <v/>
      </c>
      <c r="C270" s="209" t="str">
        <f>IFERROR(VLOOKUP($B270,'Institution Evaluation'!$A$55:$F$345,2,0),IFERROR(VLOOKUP($B270,'Privacy Analyst Evaluation'!$A$46:$F$120,2,0),""))&amp;""</f>
        <v/>
      </c>
      <c r="D270" s="209" t="str">
        <f>IFERROR(VLOOKUP($B270,'Institution Evaluation'!$A$55:$F$345,3,0),IFERROR(VLOOKUP($B270,'Privacy Analyst Evaluation'!$A$46:$F$120,3,0),""))&amp;""</f>
        <v/>
      </c>
      <c r="E270" s="209" t="str">
        <f>IFERROR(VLOOKUP($B270,'Institution Evaluation'!$A$55:$F$345,4,0),IFERROR(VLOOKUP($B270,'Privacy Analyst Evaluation'!$A$46:$F$120,4,0),""))&amp;""</f>
        <v/>
      </c>
      <c r="F270" s="209" t="str">
        <f>IFERROR(VLOOKUP($B270,'Institution Evaluation'!$A$55:$F$345,6,0),IFERROR(VLOOKUP($B270,'Privacy Analyst Evaluation'!$A$46:$F$120,6,0),""))&amp;""</f>
        <v/>
      </c>
      <c r="G270" s="210"/>
      <c r="H270" s="209" t="str">
        <f>IFERROR(IF($H269+1&gt;'(backend scoring)'!$Q$335,"",$H269+1),"")</f>
        <v/>
      </c>
      <c r="I270" s="209" t="str">
        <f>_xlfn.XLOOKUP($H270,'(backend scoring)'!$S$2:$S$333,'(backend scoring)'!$A$2:$A$333,"")</f>
        <v/>
      </c>
      <c r="J270" s="209" t="str">
        <f>IFERROR(VLOOKUP($I270,'Institution Evaluation'!$A$55:$F$345,2,0),IFERROR(VLOOKUP($I270,'Privacy Analyst Evaluation'!$A$46:$F$120,2,0),""))</f>
        <v/>
      </c>
      <c r="K270" s="209" t="str">
        <f>IFERROR(VLOOKUP($I270,'Institution Evaluation'!$A$55:$F$345,3,0),IFERROR(VLOOKUP($I270,'Privacy Analyst Evaluation'!$A$46:$F$120,3,0),""))&amp;""</f>
        <v/>
      </c>
      <c r="L270" s="209" t="str">
        <f>IFERROR(VLOOKUP($I270,'Institution Evaluation'!$A$55:$F$345,4,0),IFERROR(VLOOKUP($I270,'Privacy Analyst Evaluation'!$A$46:$F$120,4,0),""))&amp;""</f>
        <v/>
      </c>
      <c r="M270" s="209" t="str">
        <f>IFERROR(VLOOKUP($I270,'Institution Evaluation'!$A$55:$F$345,6,0),IFERROR(VLOOKUP($I270,'Privacy Analyst Evaluation'!$A$46:$F$120,6,0),""))&amp;""</f>
        <v/>
      </c>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row>
    <row r="271" spans="1:338" x14ac:dyDescent="0.3">
      <c r="A271" s="209" t="str">
        <f>IFERROR(IF($A270+1&gt;'(backend scoring)'!$T$335,"",$A270+1),"")</f>
        <v/>
      </c>
      <c r="B271" s="209" t="str">
        <f>_xlfn.XLOOKUP($A271,'(backend scoring)'!$V$2:$V$333,'(backend scoring)'!$A$2:$A$333,"")</f>
        <v/>
      </c>
      <c r="C271" s="209" t="str">
        <f>IFERROR(VLOOKUP($B271,'Institution Evaluation'!$A$55:$F$345,2,0),IFERROR(VLOOKUP($B271,'Privacy Analyst Evaluation'!$A$46:$F$120,2,0),""))&amp;""</f>
        <v/>
      </c>
      <c r="D271" s="209" t="str">
        <f>IFERROR(VLOOKUP($B271,'Institution Evaluation'!$A$55:$F$345,3,0),IFERROR(VLOOKUP($B271,'Privacy Analyst Evaluation'!$A$46:$F$120,3,0),""))&amp;""</f>
        <v/>
      </c>
      <c r="E271" s="209" t="str">
        <f>IFERROR(VLOOKUP($B271,'Institution Evaluation'!$A$55:$F$345,4,0),IFERROR(VLOOKUP($B271,'Privacy Analyst Evaluation'!$A$46:$F$120,4,0),""))&amp;""</f>
        <v/>
      </c>
      <c r="F271" s="209" t="str">
        <f>IFERROR(VLOOKUP($B271,'Institution Evaluation'!$A$55:$F$345,6,0),IFERROR(VLOOKUP($B271,'Privacy Analyst Evaluation'!$A$46:$F$120,6,0),""))&amp;""</f>
        <v/>
      </c>
      <c r="G271" s="210"/>
      <c r="H271" s="209" t="str">
        <f>IFERROR(IF($H270+1&gt;'(backend scoring)'!$Q$335,"",$H270+1),"")</f>
        <v/>
      </c>
      <c r="I271" s="209" t="str">
        <f>_xlfn.XLOOKUP($H271,'(backend scoring)'!$S$2:$S$333,'(backend scoring)'!$A$2:$A$333,"")</f>
        <v/>
      </c>
      <c r="J271" s="209" t="str">
        <f>IFERROR(VLOOKUP($I271,'Institution Evaluation'!$A$55:$F$345,2,0),IFERROR(VLOOKUP($I271,'Privacy Analyst Evaluation'!$A$46:$F$120,2,0),""))</f>
        <v/>
      </c>
      <c r="K271" s="209" t="str">
        <f>IFERROR(VLOOKUP($I271,'Institution Evaluation'!$A$55:$F$345,3,0),IFERROR(VLOOKUP($I271,'Privacy Analyst Evaluation'!$A$46:$F$120,3,0),""))&amp;""</f>
        <v/>
      </c>
      <c r="L271" s="209" t="str">
        <f>IFERROR(VLOOKUP($I271,'Institution Evaluation'!$A$55:$F$345,4,0),IFERROR(VLOOKUP($I271,'Privacy Analyst Evaluation'!$A$46:$F$120,4,0),""))&amp;""</f>
        <v/>
      </c>
      <c r="M271" s="209" t="str">
        <f>IFERROR(VLOOKUP($I271,'Institution Evaluation'!$A$55:$F$345,6,0),IFERROR(VLOOKUP($I271,'Privacy Analyst Evaluation'!$A$46:$F$120,6,0),""))&amp;""</f>
        <v/>
      </c>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row>
    <row r="272" spans="1:338" x14ac:dyDescent="0.3">
      <c r="A272" s="209" t="str">
        <f>IFERROR(IF($A271+1&gt;'(backend scoring)'!$T$335,"",$A271+1),"")</f>
        <v/>
      </c>
      <c r="B272" s="209" t="str">
        <f>_xlfn.XLOOKUP($A272,'(backend scoring)'!$V$2:$V$333,'(backend scoring)'!$A$2:$A$333,"")</f>
        <v/>
      </c>
      <c r="C272" s="209" t="str">
        <f>IFERROR(VLOOKUP($B272,'Institution Evaluation'!$A$55:$F$345,2,0),IFERROR(VLOOKUP($B272,'Privacy Analyst Evaluation'!$A$46:$F$120,2,0),""))&amp;""</f>
        <v/>
      </c>
      <c r="D272" s="209" t="str">
        <f>IFERROR(VLOOKUP($B272,'Institution Evaluation'!$A$55:$F$345,3,0),IFERROR(VLOOKUP($B272,'Privacy Analyst Evaluation'!$A$46:$F$120,3,0),""))&amp;""</f>
        <v/>
      </c>
      <c r="E272" s="209" t="str">
        <f>IFERROR(VLOOKUP($B272,'Institution Evaluation'!$A$55:$F$345,4,0),IFERROR(VLOOKUP($B272,'Privacy Analyst Evaluation'!$A$46:$F$120,4,0),""))&amp;""</f>
        <v/>
      </c>
      <c r="F272" s="209" t="str">
        <f>IFERROR(VLOOKUP($B272,'Institution Evaluation'!$A$55:$F$345,6,0),IFERROR(VLOOKUP($B272,'Privacy Analyst Evaluation'!$A$46:$F$120,6,0),""))&amp;""</f>
        <v/>
      </c>
      <c r="G272" s="210"/>
      <c r="H272" s="209" t="str">
        <f>IFERROR(IF($H271+1&gt;'(backend scoring)'!$Q$335,"",$H271+1),"")</f>
        <v/>
      </c>
      <c r="I272" s="209" t="str">
        <f>_xlfn.XLOOKUP($H272,'(backend scoring)'!$S$2:$S$333,'(backend scoring)'!$A$2:$A$333,"")</f>
        <v/>
      </c>
      <c r="J272" s="209" t="str">
        <f>IFERROR(VLOOKUP($I272,'Institution Evaluation'!$A$55:$F$345,2,0),IFERROR(VLOOKUP($I272,'Privacy Analyst Evaluation'!$A$46:$F$120,2,0),""))</f>
        <v/>
      </c>
      <c r="K272" s="209" t="str">
        <f>IFERROR(VLOOKUP($I272,'Institution Evaluation'!$A$55:$F$345,3,0),IFERROR(VLOOKUP($I272,'Privacy Analyst Evaluation'!$A$46:$F$120,3,0),""))&amp;""</f>
        <v/>
      </c>
      <c r="L272" s="209" t="str">
        <f>IFERROR(VLOOKUP($I272,'Institution Evaluation'!$A$55:$F$345,4,0),IFERROR(VLOOKUP($I272,'Privacy Analyst Evaluation'!$A$46:$F$120,4,0),""))&amp;""</f>
        <v/>
      </c>
      <c r="M272" s="209" t="str">
        <f>IFERROR(VLOOKUP($I272,'Institution Evaluation'!$A$55:$F$345,6,0),IFERROR(VLOOKUP($I272,'Privacy Analyst Evaluation'!$A$46:$F$120,6,0),""))&amp;""</f>
        <v/>
      </c>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row>
    <row r="273" spans="1:338" x14ac:dyDescent="0.3">
      <c r="A273" s="209" t="str">
        <f>IFERROR(IF($A272+1&gt;'(backend scoring)'!$T$335,"",$A272+1),"")</f>
        <v/>
      </c>
      <c r="B273" s="209" t="str">
        <f>_xlfn.XLOOKUP($A273,'(backend scoring)'!$V$2:$V$333,'(backend scoring)'!$A$2:$A$333,"")</f>
        <v/>
      </c>
      <c r="C273" s="209" t="str">
        <f>IFERROR(VLOOKUP($B273,'Institution Evaluation'!$A$55:$F$345,2,0),IFERROR(VLOOKUP($B273,'Privacy Analyst Evaluation'!$A$46:$F$120,2,0),""))&amp;""</f>
        <v/>
      </c>
      <c r="D273" s="209" t="str">
        <f>IFERROR(VLOOKUP($B273,'Institution Evaluation'!$A$55:$F$345,3,0),IFERROR(VLOOKUP($B273,'Privacy Analyst Evaluation'!$A$46:$F$120,3,0),""))&amp;""</f>
        <v/>
      </c>
      <c r="E273" s="209" t="str">
        <f>IFERROR(VLOOKUP($B273,'Institution Evaluation'!$A$55:$F$345,4,0),IFERROR(VLOOKUP($B273,'Privacy Analyst Evaluation'!$A$46:$F$120,4,0),""))&amp;""</f>
        <v/>
      </c>
      <c r="F273" s="209" t="str">
        <f>IFERROR(VLOOKUP($B273,'Institution Evaluation'!$A$55:$F$345,6,0),IFERROR(VLOOKUP($B273,'Privacy Analyst Evaluation'!$A$46:$F$120,6,0),""))&amp;""</f>
        <v/>
      </c>
      <c r="G273" s="210"/>
      <c r="H273" s="209" t="str">
        <f>IFERROR(IF($H272+1&gt;'(backend scoring)'!$Q$335,"",$H272+1),"")</f>
        <v/>
      </c>
      <c r="I273" s="209" t="str">
        <f>_xlfn.XLOOKUP($H273,'(backend scoring)'!$S$2:$S$333,'(backend scoring)'!$A$2:$A$333,"")</f>
        <v/>
      </c>
      <c r="J273" s="209" t="str">
        <f>IFERROR(VLOOKUP($I273,'Institution Evaluation'!$A$55:$F$345,2,0),IFERROR(VLOOKUP($I273,'Privacy Analyst Evaluation'!$A$46:$F$120,2,0),""))</f>
        <v/>
      </c>
      <c r="K273" s="209" t="str">
        <f>IFERROR(VLOOKUP($I273,'Institution Evaluation'!$A$55:$F$345,3,0),IFERROR(VLOOKUP($I273,'Privacy Analyst Evaluation'!$A$46:$F$120,3,0),""))&amp;""</f>
        <v/>
      </c>
      <c r="L273" s="209" t="str">
        <f>IFERROR(VLOOKUP($I273,'Institution Evaluation'!$A$55:$F$345,4,0),IFERROR(VLOOKUP($I273,'Privacy Analyst Evaluation'!$A$46:$F$120,4,0),""))&amp;""</f>
        <v/>
      </c>
      <c r="M273" s="209" t="str">
        <f>IFERROR(VLOOKUP($I273,'Institution Evaluation'!$A$55:$F$345,6,0),IFERROR(VLOOKUP($I273,'Privacy Analyst Evaluation'!$A$46:$F$120,6,0),""))&amp;""</f>
        <v/>
      </c>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row>
    <row r="274" spans="1:338" x14ac:dyDescent="0.3">
      <c r="A274" s="209" t="str">
        <f>IFERROR(IF($A273+1&gt;'(backend scoring)'!$T$335,"",$A273+1),"")</f>
        <v/>
      </c>
      <c r="B274" s="209" t="str">
        <f>_xlfn.XLOOKUP($A274,'(backend scoring)'!$V$2:$V$333,'(backend scoring)'!$A$2:$A$333,"")</f>
        <v/>
      </c>
      <c r="C274" s="209" t="str">
        <f>IFERROR(VLOOKUP($B274,'Institution Evaluation'!$A$55:$F$345,2,0),IFERROR(VLOOKUP($B274,'Privacy Analyst Evaluation'!$A$46:$F$120,2,0),""))&amp;""</f>
        <v/>
      </c>
      <c r="D274" s="209" t="str">
        <f>IFERROR(VLOOKUP($B274,'Institution Evaluation'!$A$55:$F$345,3,0),IFERROR(VLOOKUP($B274,'Privacy Analyst Evaluation'!$A$46:$F$120,3,0),""))&amp;""</f>
        <v/>
      </c>
      <c r="E274" s="209" t="str">
        <f>IFERROR(VLOOKUP($B274,'Institution Evaluation'!$A$55:$F$345,4,0),IFERROR(VLOOKUP($B274,'Privacy Analyst Evaluation'!$A$46:$F$120,4,0),""))&amp;""</f>
        <v/>
      </c>
      <c r="F274" s="209" t="str">
        <f>IFERROR(VLOOKUP($B274,'Institution Evaluation'!$A$55:$F$345,6,0),IFERROR(VLOOKUP($B274,'Privacy Analyst Evaluation'!$A$46:$F$120,6,0),""))&amp;""</f>
        <v/>
      </c>
      <c r="G274" s="210"/>
      <c r="H274" s="209" t="str">
        <f>IFERROR(IF($H273+1&gt;'(backend scoring)'!$Q$335,"",$H273+1),"")</f>
        <v/>
      </c>
      <c r="I274" s="209" t="str">
        <f>_xlfn.XLOOKUP($H274,'(backend scoring)'!$S$2:$S$333,'(backend scoring)'!$A$2:$A$333,"")</f>
        <v/>
      </c>
      <c r="J274" s="209" t="str">
        <f>IFERROR(VLOOKUP($I274,'Institution Evaluation'!$A$55:$F$345,2,0),IFERROR(VLOOKUP($I274,'Privacy Analyst Evaluation'!$A$46:$F$120,2,0),""))</f>
        <v/>
      </c>
      <c r="K274" s="209" t="str">
        <f>IFERROR(VLOOKUP($I274,'Institution Evaluation'!$A$55:$F$345,3,0),IFERROR(VLOOKUP($I274,'Privacy Analyst Evaluation'!$A$46:$F$120,3,0),""))&amp;""</f>
        <v/>
      </c>
      <c r="L274" s="209" t="str">
        <f>IFERROR(VLOOKUP($I274,'Institution Evaluation'!$A$55:$F$345,4,0),IFERROR(VLOOKUP($I274,'Privacy Analyst Evaluation'!$A$46:$F$120,4,0),""))&amp;""</f>
        <v/>
      </c>
      <c r="M274" s="209" t="str">
        <f>IFERROR(VLOOKUP($I274,'Institution Evaluation'!$A$55:$F$345,6,0),IFERROR(VLOOKUP($I274,'Privacy Analyst Evaluation'!$A$46:$F$120,6,0),""))&amp;""</f>
        <v/>
      </c>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row>
    <row r="275" spans="1:338" x14ac:dyDescent="0.3">
      <c r="A275" s="209" t="str">
        <f>IFERROR(IF($A274+1&gt;'(backend scoring)'!$T$335,"",$A274+1),"")</f>
        <v/>
      </c>
      <c r="B275" s="209" t="str">
        <f>_xlfn.XLOOKUP($A275,'(backend scoring)'!$V$2:$V$333,'(backend scoring)'!$A$2:$A$333,"")</f>
        <v/>
      </c>
      <c r="C275" s="209" t="str">
        <f>IFERROR(VLOOKUP($B275,'Institution Evaluation'!$A$55:$F$345,2,0),IFERROR(VLOOKUP($B275,'Privacy Analyst Evaluation'!$A$46:$F$120,2,0),""))&amp;""</f>
        <v/>
      </c>
      <c r="D275" s="209" t="str">
        <f>IFERROR(VLOOKUP($B275,'Institution Evaluation'!$A$55:$F$345,3,0),IFERROR(VLOOKUP($B275,'Privacy Analyst Evaluation'!$A$46:$F$120,3,0),""))&amp;""</f>
        <v/>
      </c>
      <c r="E275" s="209" t="str">
        <f>IFERROR(VLOOKUP($B275,'Institution Evaluation'!$A$55:$F$345,4,0),IFERROR(VLOOKUP($B275,'Privacy Analyst Evaluation'!$A$46:$F$120,4,0),""))&amp;""</f>
        <v/>
      </c>
      <c r="F275" s="209" t="str">
        <f>IFERROR(VLOOKUP($B275,'Institution Evaluation'!$A$55:$F$345,6,0),IFERROR(VLOOKUP($B275,'Privacy Analyst Evaluation'!$A$46:$F$120,6,0),""))&amp;""</f>
        <v/>
      </c>
      <c r="G275" s="210"/>
      <c r="H275" s="209" t="str">
        <f>IFERROR(IF($H274+1&gt;'(backend scoring)'!$Q$335,"",$H274+1),"")</f>
        <v/>
      </c>
      <c r="I275" s="209" t="str">
        <f>_xlfn.XLOOKUP($H275,'(backend scoring)'!$S$2:$S$333,'(backend scoring)'!$A$2:$A$333,"")</f>
        <v/>
      </c>
      <c r="J275" s="209" t="str">
        <f>IFERROR(VLOOKUP($I275,'Institution Evaluation'!$A$55:$F$345,2,0),IFERROR(VLOOKUP($I275,'Privacy Analyst Evaluation'!$A$46:$F$120,2,0),""))</f>
        <v/>
      </c>
      <c r="K275" s="209" t="str">
        <f>IFERROR(VLOOKUP($I275,'Institution Evaluation'!$A$55:$F$345,3,0),IFERROR(VLOOKUP($I275,'Privacy Analyst Evaluation'!$A$46:$F$120,3,0),""))&amp;""</f>
        <v/>
      </c>
      <c r="L275" s="209" t="str">
        <f>IFERROR(VLOOKUP($I275,'Institution Evaluation'!$A$55:$F$345,4,0),IFERROR(VLOOKUP($I275,'Privacy Analyst Evaluation'!$A$46:$F$120,4,0),""))&amp;""</f>
        <v/>
      </c>
      <c r="M275" s="209" t="str">
        <f>IFERROR(VLOOKUP($I275,'Institution Evaluation'!$A$55:$F$345,6,0),IFERROR(VLOOKUP($I275,'Privacy Analyst Evaluation'!$A$46:$F$120,6,0),""))&amp;""</f>
        <v/>
      </c>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row>
    <row r="276" spans="1:338" x14ac:dyDescent="0.3">
      <c r="A276" s="209" t="str">
        <f>IFERROR(IF($A275+1&gt;'(backend scoring)'!$T$335,"",$A275+1),"")</f>
        <v/>
      </c>
      <c r="B276" s="209" t="str">
        <f>_xlfn.XLOOKUP($A276,'(backend scoring)'!$V$2:$V$333,'(backend scoring)'!$A$2:$A$333,"")</f>
        <v/>
      </c>
      <c r="C276" s="209" t="str">
        <f>IFERROR(VLOOKUP($B276,'Institution Evaluation'!$A$55:$F$345,2,0),IFERROR(VLOOKUP($B276,'Privacy Analyst Evaluation'!$A$46:$F$120,2,0),""))&amp;""</f>
        <v/>
      </c>
      <c r="D276" s="209" t="str">
        <f>IFERROR(VLOOKUP($B276,'Institution Evaluation'!$A$55:$F$345,3,0),IFERROR(VLOOKUP($B276,'Privacy Analyst Evaluation'!$A$46:$F$120,3,0),""))&amp;""</f>
        <v/>
      </c>
      <c r="E276" s="209" t="str">
        <f>IFERROR(VLOOKUP($B276,'Institution Evaluation'!$A$55:$F$345,4,0),IFERROR(VLOOKUP($B276,'Privacy Analyst Evaluation'!$A$46:$F$120,4,0),""))&amp;""</f>
        <v/>
      </c>
      <c r="F276" s="209" t="str">
        <f>IFERROR(VLOOKUP($B276,'Institution Evaluation'!$A$55:$F$345,6,0),IFERROR(VLOOKUP($B276,'Privacy Analyst Evaluation'!$A$46:$F$120,6,0),""))&amp;""</f>
        <v/>
      </c>
      <c r="G276" s="210"/>
      <c r="H276" s="209" t="str">
        <f>IFERROR(IF($H275+1&gt;'(backend scoring)'!$Q$335,"",$H275+1),"")</f>
        <v/>
      </c>
      <c r="I276" s="209" t="str">
        <f>_xlfn.XLOOKUP($H276,'(backend scoring)'!$S$2:$S$333,'(backend scoring)'!$A$2:$A$333,"")</f>
        <v/>
      </c>
      <c r="J276" s="209" t="str">
        <f>IFERROR(VLOOKUP($I276,'Institution Evaluation'!$A$55:$F$345,2,0),IFERROR(VLOOKUP($I276,'Privacy Analyst Evaluation'!$A$46:$F$120,2,0),""))</f>
        <v/>
      </c>
      <c r="K276" s="209" t="str">
        <f>IFERROR(VLOOKUP($I276,'Institution Evaluation'!$A$55:$F$345,3,0),IFERROR(VLOOKUP($I276,'Privacy Analyst Evaluation'!$A$46:$F$120,3,0),""))&amp;""</f>
        <v/>
      </c>
      <c r="L276" s="209" t="str">
        <f>IFERROR(VLOOKUP($I276,'Institution Evaluation'!$A$55:$F$345,4,0),IFERROR(VLOOKUP($I276,'Privacy Analyst Evaluation'!$A$46:$F$120,4,0),""))&amp;""</f>
        <v/>
      </c>
      <c r="M276" s="209" t="str">
        <f>IFERROR(VLOOKUP($I276,'Institution Evaluation'!$A$55:$F$345,6,0),IFERROR(VLOOKUP($I276,'Privacy Analyst Evaluation'!$A$46:$F$120,6,0),""))&amp;""</f>
        <v/>
      </c>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row>
    <row r="277" spans="1:338" x14ac:dyDescent="0.3">
      <c r="A277" s="209" t="str">
        <f>IFERROR(IF($A276+1&gt;'(backend scoring)'!$T$335,"",$A276+1),"")</f>
        <v/>
      </c>
      <c r="B277" s="209" t="str">
        <f>_xlfn.XLOOKUP($A277,'(backend scoring)'!$V$2:$V$333,'(backend scoring)'!$A$2:$A$333,"")</f>
        <v/>
      </c>
      <c r="C277" s="209" t="str">
        <f>IFERROR(VLOOKUP($B277,'Institution Evaluation'!$A$55:$F$345,2,0),IFERROR(VLOOKUP($B277,'Privacy Analyst Evaluation'!$A$46:$F$120,2,0),""))&amp;""</f>
        <v/>
      </c>
      <c r="D277" s="209" t="str">
        <f>IFERROR(VLOOKUP($B277,'Institution Evaluation'!$A$55:$F$345,3,0),IFERROR(VLOOKUP($B277,'Privacy Analyst Evaluation'!$A$46:$F$120,3,0),""))&amp;""</f>
        <v/>
      </c>
      <c r="E277" s="209" t="str">
        <f>IFERROR(VLOOKUP($B277,'Institution Evaluation'!$A$55:$F$345,4,0),IFERROR(VLOOKUP($B277,'Privacy Analyst Evaluation'!$A$46:$F$120,4,0),""))&amp;""</f>
        <v/>
      </c>
      <c r="F277" s="209" t="str">
        <f>IFERROR(VLOOKUP($B277,'Institution Evaluation'!$A$55:$F$345,6,0),IFERROR(VLOOKUP($B277,'Privacy Analyst Evaluation'!$A$46:$F$120,6,0),""))&amp;""</f>
        <v/>
      </c>
      <c r="G277" s="210"/>
      <c r="H277" s="209" t="str">
        <f>IFERROR(IF($H276+1&gt;'(backend scoring)'!$Q$335,"",$H276+1),"")</f>
        <v/>
      </c>
      <c r="I277" s="209" t="str">
        <f>_xlfn.XLOOKUP($H277,'(backend scoring)'!$S$2:$S$333,'(backend scoring)'!$A$2:$A$333,"")</f>
        <v/>
      </c>
      <c r="J277" s="209" t="str">
        <f>IFERROR(VLOOKUP($I277,'Institution Evaluation'!$A$55:$F$345,2,0),IFERROR(VLOOKUP($I277,'Privacy Analyst Evaluation'!$A$46:$F$120,2,0),""))</f>
        <v/>
      </c>
      <c r="K277" s="209" t="str">
        <f>IFERROR(VLOOKUP($I277,'Institution Evaluation'!$A$55:$F$345,3,0),IFERROR(VLOOKUP($I277,'Privacy Analyst Evaluation'!$A$46:$F$120,3,0),""))&amp;""</f>
        <v/>
      </c>
      <c r="L277" s="209" t="str">
        <f>IFERROR(VLOOKUP($I277,'Institution Evaluation'!$A$55:$F$345,4,0),IFERROR(VLOOKUP($I277,'Privacy Analyst Evaluation'!$A$46:$F$120,4,0),""))&amp;""</f>
        <v/>
      </c>
      <c r="M277" s="209" t="str">
        <f>IFERROR(VLOOKUP($I277,'Institution Evaluation'!$A$55:$F$345,6,0),IFERROR(VLOOKUP($I277,'Privacy Analyst Evaluation'!$A$46:$F$120,6,0),""))&amp;""</f>
        <v/>
      </c>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row>
    <row r="278" spans="1:338" x14ac:dyDescent="0.3">
      <c r="A278" s="209" t="str">
        <f>IFERROR(IF($A277+1&gt;'(backend scoring)'!$T$335,"",$A277+1),"")</f>
        <v/>
      </c>
      <c r="B278" s="209" t="str">
        <f>_xlfn.XLOOKUP($A278,'(backend scoring)'!$V$2:$V$333,'(backend scoring)'!$A$2:$A$333,"")</f>
        <v/>
      </c>
      <c r="C278" s="209" t="str">
        <f>IFERROR(VLOOKUP($B278,'Institution Evaluation'!$A$55:$F$345,2,0),IFERROR(VLOOKUP($B278,'Privacy Analyst Evaluation'!$A$46:$F$120,2,0),""))&amp;""</f>
        <v/>
      </c>
      <c r="D278" s="209" t="str">
        <f>IFERROR(VLOOKUP($B278,'Institution Evaluation'!$A$55:$F$345,3,0),IFERROR(VLOOKUP($B278,'Privacy Analyst Evaluation'!$A$46:$F$120,3,0),""))&amp;""</f>
        <v/>
      </c>
      <c r="E278" s="209" t="str">
        <f>IFERROR(VLOOKUP($B278,'Institution Evaluation'!$A$55:$F$345,4,0),IFERROR(VLOOKUP($B278,'Privacy Analyst Evaluation'!$A$46:$F$120,4,0),""))&amp;""</f>
        <v/>
      </c>
      <c r="F278" s="209" t="str">
        <f>IFERROR(VLOOKUP($B278,'Institution Evaluation'!$A$55:$F$345,6,0),IFERROR(VLOOKUP($B278,'Privacy Analyst Evaluation'!$A$46:$F$120,6,0),""))&amp;""</f>
        <v/>
      </c>
      <c r="G278" s="210"/>
      <c r="H278" s="209" t="str">
        <f>IFERROR(IF($H277+1&gt;'(backend scoring)'!$Q$335,"",$H277+1),"")</f>
        <v/>
      </c>
      <c r="I278" s="209" t="str">
        <f>_xlfn.XLOOKUP($H278,'(backend scoring)'!$S$2:$S$333,'(backend scoring)'!$A$2:$A$333,"")</f>
        <v/>
      </c>
      <c r="J278" s="209" t="str">
        <f>IFERROR(VLOOKUP($I278,'Institution Evaluation'!$A$55:$F$345,2,0),IFERROR(VLOOKUP($I278,'Privacy Analyst Evaluation'!$A$46:$F$120,2,0),""))</f>
        <v/>
      </c>
      <c r="K278" s="209" t="str">
        <f>IFERROR(VLOOKUP($I278,'Institution Evaluation'!$A$55:$F$345,3,0),IFERROR(VLOOKUP($I278,'Privacy Analyst Evaluation'!$A$46:$F$120,3,0),""))&amp;""</f>
        <v/>
      </c>
      <c r="L278" s="209" t="str">
        <f>IFERROR(VLOOKUP($I278,'Institution Evaluation'!$A$55:$F$345,4,0),IFERROR(VLOOKUP($I278,'Privacy Analyst Evaluation'!$A$46:$F$120,4,0),""))&amp;""</f>
        <v/>
      </c>
      <c r="M278" s="209" t="str">
        <f>IFERROR(VLOOKUP($I278,'Institution Evaluation'!$A$55:$F$345,6,0),IFERROR(VLOOKUP($I278,'Privacy Analyst Evaluation'!$A$46:$F$120,6,0),""))&amp;""</f>
        <v/>
      </c>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row>
    <row r="279" spans="1:338" x14ac:dyDescent="0.3">
      <c r="A279" s="209" t="str">
        <f>IFERROR(IF($A278+1&gt;'(backend scoring)'!$T$335,"",$A278+1),"")</f>
        <v/>
      </c>
      <c r="B279" s="209" t="str">
        <f>_xlfn.XLOOKUP($A279,'(backend scoring)'!$V$2:$V$333,'(backend scoring)'!$A$2:$A$333,"")</f>
        <v/>
      </c>
      <c r="C279" s="209" t="str">
        <f>IFERROR(VLOOKUP($B279,'Institution Evaluation'!$A$55:$F$345,2,0),IFERROR(VLOOKUP($B279,'Privacy Analyst Evaluation'!$A$46:$F$120,2,0),""))&amp;""</f>
        <v/>
      </c>
      <c r="D279" s="209" t="str">
        <f>IFERROR(VLOOKUP($B279,'Institution Evaluation'!$A$55:$F$345,3,0),IFERROR(VLOOKUP($B279,'Privacy Analyst Evaluation'!$A$46:$F$120,3,0),""))&amp;""</f>
        <v/>
      </c>
      <c r="E279" s="209" t="str">
        <f>IFERROR(VLOOKUP($B279,'Institution Evaluation'!$A$55:$F$345,4,0),IFERROR(VLOOKUP($B279,'Privacy Analyst Evaluation'!$A$46:$F$120,4,0),""))&amp;""</f>
        <v/>
      </c>
      <c r="F279" s="209" t="str">
        <f>IFERROR(VLOOKUP($B279,'Institution Evaluation'!$A$55:$F$345,6,0),IFERROR(VLOOKUP($B279,'Privacy Analyst Evaluation'!$A$46:$F$120,6,0),""))&amp;""</f>
        <v/>
      </c>
      <c r="G279" s="210"/>
      <c r="H279" s="209" t="str">
        <f>IFERROR(IF($H278+1&gt;'(backend scoring)'!$Q$335,"",$H278+1),"")</f>
        <v/>
      </c>
      <c r="I279" s="209" t="str">
        <f>_xlfn.XLOOKUP($H279,'(backend scoring)'!$S$2:$S$333,'(backend scoring)'!$A$2:$A$333,"")</f>
        <v/>
      </c>
      <c r="J279" s="209" t="str">
        <f>IFERROR(VLOOKUP($I279,'Institution Evaluation'!$A$55:$F$345,2,0),IFERROR(VLOOKUP($I279,'Privacy Analyst Evaluation'!$A$46:$F$120,2,0),""))</f>
        <v/>
      </c>
      <c r="K279" s="209" t="str">
        <f>IFERROR(VLOOKUP($I279,'Institution Evaluation'!$A$55:$F$345,3,0),IFERROR(VLOOKUP($I279,'Privacy Analyst Evaluation'!$A$46:$F$120,3,0),""))&amp;""</f>
        <v/>
      </c>
      <c r="L279" s="209" t="str">
        <f>IFERROR(VLOOKUP($I279,'Institution Evaluation'!$A$55:$F$345,4,0),IFERROR(VLOOKUP($I279,'Privacy Analyst Evaluation'!$A$46:$F$120,4,0),""))&amp;""</f>
        <v/>
      </c>
      <c r="M279" s="209" t="str">
        <f>IFERROR(VLOOKUP($I279,'Institution Evaluation'!$A$55:$F$345,6,0),IFERROR(VLOOKUP($I279,'Privacy Analyst Evaluation'!$A$46:$F$120,6,0),""))&amp;""</f>
        <v/>
      </c>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row>
    <row r="280" spans="1:338" x14ac:dyDescent="0.3">
      <c r="A280" s="209" t="str">
        <f>IFERROR(IF($A279+1&gt;'(backend scoring)'!$T$335,"",$A279+1),"")</f>
        <v/>
      </c>
      <c r="B280" s="209" t="str">
        <f>_xlfn.XLOOKUP($A280,'(backend scoring)'!$V$2:$V$333,'(backend scoring)'!$A$2:$A$333,"")</f>
        <v/>
      </c>
      <c r="C280" s="209" t="str">
        <f>IFERROR(VLOOKUP($B280,'Institution Evaluation'!$A$55:$F$345,2,0),IFERROR(VLOOKUP($B280,'Privacy Analyst Evaluation'!$A$46:$F$120,2,0),""))&amp;""</f>
        <v/>
      </c>
      <c r="D280" s="209" t="str">
        <f>IFERROR(VLOOKUP($B280,'Institution Evaluation'!$A$55:$F$345,3,0),IFERROR(VLOOKUP($B280,'Privacy Analyst Evaluation'!$A$46:$F$120,3,0),""))&amp;""</f>
        <v/>
      </c>
      <c r="E280" s="209" t="str">
        <f>IFERROR(VLOOKUP($B280,'Institution Evaluation'!$A$55:$F$345,4,0),IFERROR(VLOOKUP($B280,'Privacy Analyst Evaluation'!$A$46:$F$120,4,0),""))&amp;""</f>
        <v/>
      </c>
      <c r="F280" s="209" t="str">
        <f>IFERROR(VLOOKUP($B280,'Institution Evaluation'!$A$55:$F$345,6,0),IFERROR(VLOOKUP($B280,'Privacy Analyst Evaluation'!$A$46:$F$120,6,0),""))&amp;""</f>
        <v/>
      </c>
      <c r="G280" s="210"/>
      <c r="H280" s="209" t="str">
        <f>IFERROR(IF($H279+1&gt;'(backend scoring)'!$Q$335,"",$H279+1),"")</f>
        <v/>
      </c>
      <c r="I280" s="209" t="str">
        <f>_xlfn.XLOOKUP($H280,'(backend scoring)'!$S$2:$S$333,'(backend scoring)'!$A$2:$A$333,"")</f>
        <v/>
      </c>
      <c r="J280" s="209" t="str">
        <f>IFERROR(VLOOKUP($I280,'Institution Evaluation'!$A$55:$F$345,2,0),IFERROR(VLOOKUP($I280,'Privacy Analyst Evaluation'!$A$46:$F$120,2,0),""))</f>
        <v/>
      </c>
      <c r="K280" s="209" t="str">
        <f>IFERROR(VLOOKUP($I280,'Institution Evaluation'!$A$55:$F$345,3,0),IFERROR(VLOOKUP($I280,'Privacy Analyst Evaluation'!$A$46:$F$120,3,0),""))&amp;""</f>
        <v/>
      </c>
      <c r="L280" s="209" t="str">
        <f>IFERROR(VLOOKUP($I280,'Institution Evaluation'!$A$55:$F$345,4,0),IFERROR(VLOOKUP($I280,'Privacy Analyst Evaluation'!$A$46:$F$120,4,0),""))&amp;""</f>
        <v/>
      </c>
      <c r="M280" s="209" t="str">
        <f>IFERROR(VLOOKUP($I280,'Institution Evaluation'!$A$55:$F$345,6,0),IFERROR(VLOOKUP($I280,'Privacy Analyst Evaluation'!$A$46:$F$120,6,0),""))&amp;""</f>
        <v/>
      </c>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row>
    <row r="281" spans="1:338" x14ac:dyDescent="0.3">
      <c r="A281" s="209" t="str">
        <f>IFERROR(IF($A280+1&gt;'(backend scoring)'!$T$335,"",$A280+1),"")</f>
        <v/>
      </c>
      <c r="B281" s="209" t="str">
        <f>_xlfn.XLOOKUP($A281,'(backend scoring)'!$V$2:$V$333,'(backend scoring)'!$A$2:$A$333,"")</f>
        <v/>
      </c>
      <c r="C281" s="209" t="str">
        <f>IFERROR(VLOOKUP($B281,'Institution Evaluation'!$A$55:$F$345,2,0),IFERROR(VLOOKUP($B281,'Privacy Analyst Evaluation'!$A$46:$F$120,2,0),""))&amp;""</f>
        <v/>
      </c>
      <c r="D281" s="209" t="str">
        <f>IFERROR(VLOOKUP($B281,'Institution Evaluation'!$A$55:$F$345,3,0),IFERROR(VLOOKUP($B281,'Privacy Analyst Evaluation'!$A$46:$F$120,3,0),""))&amp;""</f>
        <v/>
      </c>
      <c r="E281" s="209" t="str">
        <f>IFERROR(VLOOKUP($B281,'Institution Evaluation'!$A$55:$F$345,4,0),IFERROR(VLOOKUP($B281,'Privacy Analyst Evaluation'!$A$46:$F$120,4,0),""))&amp;""</f>
        <v/>
      </c>
      <c r="F281" s="209" t="str">
        <f>IFERROR(VLOOKUP($B281,'Institution Evaluation'!$A$55:$F$345,6,0),IFERROR(VLOOKUP($B281,'Privacy Analyst Evaluation'!$A$46:$F$120,6,0),""))&amp;""</f>
        <v/>
      </c>
      <c r="G281" s="210"/>
      <c r="H281" s="209" t="str">
        <f>IFERROR(IF($H280+1&gt;'(backend scoring)'!$Q$335,"",$H280+1),"")</f>
        <v/>
      </c>
      <c r="I281" s="209" t="str">
        <f>_xlfn.XLOOKUP($H281,'(backend scoring)'!$S$2:$S$333,'(backend scoring)'!$A$2:$A$333,"")</f>
        <v/>
      </c>
      <c r="J281" s="209" t="str">
        <f>IFERROR(VLOOKUP($I281,'Institution Evaluation'!$A$55:$F$345,2,0),IFERROR(VLOOKUP($I281,'Privacy Analyst Evaluation'!$A$46:$F$120,2,0),""))</f>
        <v/>
      </c>
      <c r="K281" s="209" t="str">
        <f>IFERROR(VLOOKUP($I281,'Institution Evaluation'!$A$55:$F$345,3,0),IFERROR(VLOOKUP($I281,'Privacy Analyst Evaluation'!$A$46:$F$120,3,0),""))&amp;""</f>
        <v/>
      </c>
      <c r="L281" s="209" t="str">
        <f>IFERROR(VLOOKUP($I281,'Institution Evaluation'!$A$55:$F$345,4,0),IFERROR(VLOOKUP($I281,'Privacy Analyst Evaluation'!$A$46:$F$120,4,0),""))&amp;""</f>
        <v/>
      </c>
      <c r="M281" s="209" t="str">
        <f>IFERROR(VLOOKUP($I281,'Institution Evaluation'!$A$55:$F$345,6,0),IFERROR(VLOOKUP($I281,'Privacy Analyst Evaluation'!$A$46:$F$120,6,0),""))&amp;""</f>
        <v/>
      </c>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row>
    <row r="282" spans="1:338" x14ac:dyDescent="0.3">
      <c r="A282" s="209" t="str">
        <f>IFERROR(IF($A281+1&gt;'(backend scoring)'!$T$335,"",$A281+1),"")</f>
        <v/>
      </c>
      <c r="B282" s="209" t="str">
        <f>_xlfn.XLOOKUP($A282,'(backend scoring)'!$V$2:$V$333,'(backend scoring)'!$A$2:$A$333,"")</f>
        <v/>
      </c>
      <c r="C282" s="209" t="str">
        <f>IFERROR(VLOOKUP($B282,'Institution Evaluation'!$A$55:$F$345,2,0),IFERROR(VLOOKUP($B282,'Privacy Analyst Evaluation'!$A$46:$F$120,2,0),""))&amp;""</f>
        <v/>
      </c>
      <c r="D282" s="209" t="str">
        <f>IFERROR(VLOOKUP($B282,'Institution Evaluation'!$A$55:$F$345,3,0),IFERROR(VLOOKUP($B282,'Privacy Analyst Evaluation'!$A$46:$F$120,3,0),""))&amp;""</f>
        <v/>
      </c>
      <c r="E282" s="209" t="str">
        <f>IFERROR(VLOOKUP($B282,'Institution Evaluation'!$A$55:$F$345,4,0),IFERROR(VLOOKUP($B282,'Privacy Analyst Evaluation'!$A$46:$F$120,4,0),""))&amp;""</f>
        <v/>
      </c>
      <c r="F282" s="209" t="str">
        <f>IFERROR(VLOOKUP($B282,'Institution Evaluation'!$A$55:$F$345,6,0),IFERROR(VLOOKUP($B282,'Privacy Analyst Evaluation'!$A$46:$F$120,6,0),""))&amp;""</f>
        <v/>
      </c>
      <c r="G282" s="210"/>
      <c r="H282" s="209" t="str">
        <f>IFERROR(IF($H281+1&gt;'(backend scoring)'!$Q$335,"",$H281+1),"")</f>
        <v/>
      </c>
      <c r="I282" s="209" t="str">
        <f>_xlfn.XLOOKUP($H282,'(backend scoring)'!$S$2:$S$333,'(backend scoring)'!$A$2:$A$333,"")</f>
        <v/>
      </c>
      <c r="J282" s="209" t="str">
        <f>IFERROR(VLOOKUP($I282,'Institution Evaluation'!$A$55:$F$345,2,0),IFERROR(VLOOKUP($I282,'Privacy Analyst Evaluation'!$A$46:$F$120,2,0),""))</f>
        <v/>
      </c>
      <c r="K282" s="209" t="str">
        <f>IFERROR(VLOOKUP($I282,'Institution Evaluation'!$A$55:$F$345,3,0),IFERROR(VLOOKUP($I282,'Privacy Analyst Evaluation'!$A$46:$F$120,3,0),""))&amp;""</f>
        <v/>
      </c>
      <c r="L282" s="209" t="str">
        <f>IFERROR(VLOOKUP($I282,'Institution Evaluation'!$A$55:$F$345,4,0),IFERROR(VLOOKUP($I282,'Privacy Analyst Evaluation'!$A$46:$F$120,4,0),""))&amp;""</f>
        <v/>
      </c>
      <c r="M282" s="209" t="str">
        <f>IFERROR(VLOOKUP($I282,'Institution Evaluation'!$A$55:$F$345,6,0),IFERROR(VLOOKUP($I282,'Privacy Analyst Evaluation'!$A$46:$F$120,6,0),""))&amp;""</f>
        <v/>
      </c>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row>
    <row r="283" spans="1:338" x14ac:dyDescent="0.3">
      <c r="A283" s="209" t="str">
        <f>IFERROR(IF($A282+1&gt;'(backend scoring)'!$T$335,"",$A282+1),"")</f>
        <v/>
      </c>
      <c r="B283" s="209" t="str">
        <f>_xlfn.XLOOKUP($A283,'(backend scoring)'!$V$2:$V$333,'(backend scoring)'!$A$2:$A$333,"")</f>
        <v/>
      </c>
      <c r="C283" s="209" t="str">
        <f>IFERROR(VLOOKUP($B283,'Institution Evaluation'!$A$55:$F$345,2,0),IFERROR(VLOOKUP($B283,'Privacy Analyst Evaluation'!$A$46:$F$120,2,0),""))&amp;""</f>
        <v/>
      </c>
      <c r="D283" s="209" t="str">
        <f>IFERROR(VLOOKUP($B283,'Institution Evaluation'!$A$55:$F$345,3,0),IFERROR(VLOOKUP($B283,'Privacy Analyst Evaluation'!$A$46:$F$120,3,0),""))&amp;""</f>
        <v/>
      </c>
      <c r="E283" s="209" t="str">
        <f>IFERROR(VLOOKUP($B283,'Institution Evaluation'!$A$55:$F$345,4,0),IFERROR(VLOOKUP($B283,'Privacy Analyst Evaluation'!$A$46:$F$120,4,0),""))&amp;""</f>
        <v/>
      </c>
      <c r="F283" s="209" t="str">
        <f>IFERROR(VLOOKUP($B283,'Institution Evaluation'!$A$55:$F$345,6,0),IFERROR(VLOOKUP($B283,'Privacy Analyst Evaluation'!$A$46:$F$120,6,0),""))&amp;""</f>
        <v/>
      </c>
      <c r="G283" s="210"/>
      <c r="H283" s="209" t="str">
        <f>IFERROR(IF($H282+1&gt;'(backend scoring)'!$Q$335,"",$H282+1),"")</f>
        <v/>
      </c>
      <c r="I283" s="209" t="str">
        <f>_xlfn.XLOOKUP($H283,'(backend scoring)'!$S$2:$S$333,'(backend scoring)'!$A$2:$A$333,"")</f>
        <v/>
      </c>
      <c r="J283" s="209" t="str">
        <f>IFERROR(VLOOKUP($I283,'Institution Evaluation'!$A$55:$F$345,2,0),IFERROR(VLOOKUP($I283,'Privacy Analyst Evaluation'!$A$46:$F$120,2,0),""))</f>
        <v/>
      </c>
      <c r="K283" s="209" t="str">
        <f>IFERROR(VLOOKUP($I283,'Institution Evaluation'!$A$55:$F$345,3,0),IFERROR(VLOOKUP($I283,'Privacy Analyst Evaluation'!$A$46:$F$120,3,0),""))&amp;""</f>
        <v/>
      </c>
      <c r="L283" s="209" t="str">
        <f>IFERROR(VLOOKUP($I283,'Institution Evaluation'!$A$55:$F$345,4,0),IFERROR(VLOOKUP($I283,'Privacy Analyst Evaluation'!$A$46:$F$120,4,0),""))&amp;""</f>
        <v/>
      </c>
      <c r="M283" s="209" t="str">
        <f>IFERROR(VLOOKUP($I283,'Institution Evaluation'!$A$55:$F$345,6,0),IFERROR(VLOOKUP($I283,'Privacy Analyst Evaluation'!$A$46:$F$120,6,0),""))&amp;""</f>
        <v/>
      </c>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row>
    <row r="284" spans="1:338" x14ac:dyDescent="0.3">
      <c r="A284" s="209" t="str">
        <f>IFERROR(IF($A283+1&gt;'(backend scoring)'!$T$335,"",$A283+1),"")</f>
        <v/>
      </c>
      <c r="B284" s="209" t="str">
        <f>_xlfn.XLOOKUP($A284,'(backend scoring)'!$V$2:$V$333,'(backend scoring)'!$A$2:$A$333,"")</f>
        <v/>
      </c>
      <c r="C284" s="209" t="str">
        <f>IFERROR(VLOOKUP($B284,'Institution Evaluation'!$A$55:$F$345,2,0),IFERROR(VLOOKUP($B284,'Privacy Analyst Evaluation'!$A$46:$F$120,2,0),""))&amp;""</f>
        <v/>
      </c>
      <c r="D284" s="209" t="str">
        <f>IFERROR(VLOOKUP($B284,'Institution Evaluation'!$A$55:$F$345,3,0),IFERROR(VLOOKUP($B284,'Privacy Analyst Evaluation'!$A$46:$F$120,3,0),""))&amp;""</f>
        <v/>
      </c>
      <c r="E284" s="209" t="str">
        <f>IFERROR(VLOOKUP($B284,'Institution Evaluation'!$A$55:$F$345,4,0),IFERROR(VLOOKUP($B284,'Privacy Analyst Evaluation'!$A$46:$F$120,4,0),""))&amp;""</f>
        <v/>
      </c>
      <c r="F284" s="209" t="str">
        <f>IFERROR(VLOOKUP($B284,'Institution Evaluation'!$A$55:$F$345,6,0),IFERROR(VLOOKUP($B284,'Privacy Analyst Evaluation'!$A$46:$F$120,6,0),""))&amp;""</f>
        <v/>
      </c>
      <c r="G284" s="210"/>
      <c r="H284" s="209" t="str">
        <f>IFERROR(IF($H283+1&gt;'(backend scoring)'!$Q$335,"",$H283+1),"")</f>
        <v/>
      </c>
      <c r="I284" s="209" t="str">
        <f>_xlfn.XLOOKUP($H284,'(backend scoring)'!$S$2:$S$333,'(backend scoring)'!$A$2:$A$333,"")</f>
        <v/>
      </c>
      <c r="J284" s="209" t="str">
        <f>IFERROR(VLOOKUP($I284,'Institution Evaluation'!$A$55:$F$345,2,0),IFERROR(VLOOKUP($I284,'Privacy Analyst Evaluation'!$A$46:$F$120,2,0),""))</f>
        <v/>
      </c>
      <c r="K284" s="209" t="str">
        <f>IFERROR(VLOOKUP($I284,'Institution Evaluation'!$A$55:$F$345,3,0),IFERROR(VLOOKUP($I284,'Privacy Analyst Evaluation'!$A$46:$F$120,3,0),""))&amp;""</f>
        <v/>
      </c>
      <c r="L284" s="209" t="str">
        <f>IFERROR(VLOOKUP($I284,'Institution Evaluation'!$A$55:$F$345,4,0),IFERROR(VLOOKUP($I284,'Privacy Analyst Evaluation'!$A$46:$F$120,4,0),""))&amp;""</f>
        <v/>
      </c>
      <c r="M284" s="209" t="str">
        <f>IFERROR(VLOOKUP($I284,'Institution Evaluation'!$A$55:$F$345,6,0),IFERROR(VLOOKUP($I284,'Privacy Analyst Evaluation'!$A$46:$F$120,6,0),""))&amp;""</f>
        <v/>
      </c>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row>
    <row r="285" spans="1:338" x14ac:dyDescent="0.3">
      <c r="A285" s="209" t="str">
        <f>IFERROR(IF($A284+1&gt;'(backend scoring)'!$T$335,"",$A284+1),"")</f>
        <v/>
      </c>
      <c r="B285" s="209" t="str">
        <f>_xlfn.XLOOKUP($A285,'(backend scoring)'!$V$2:$V$333,'(backend scoring)'!$A$2:$A$333,"")</f>
        <v/>
      </c>
      <c r="C285" s="209" t="str">
        <f>IFERROR(VLOOKUP($B285,'Institution Evaluation'!$A$55:$F$345,2,0),IFERROR(VLOOKUP($B285,'Privacy Analyst Evaluation'!$A$46:$F$120,2,0),""))&amp;""</f>
        <v/>
      </c>
      <c r="D285" s="209" t="str">
        <f>IFERROR(VLOOKUP($B285,'Institution Evaluation'!$A$55:$F$345,3,0),IFERROR(VLOOKUP($B285,'Privacy Analyst Evaluation'!$A$46:$F$120,3,0),""))&amp;""</f>
        <v/>
      </c>
      <c r="E285" s="209" t="str">
        <f>IFERROR(VLOOKUP($B285,'Institution Evaluation'!$A$55:$F$345,4,0),IFERROR(VLOOKUP($B285,'Privacy Analyst Evaluation'!$A$46:$F$120,4,0),""))&amp;""</f>
        <v/>
      </c>
      <c r="F285" s="209" t="str">
        <f>IFERROR(VLOOKUP($B285,'Institution Evaluation'!$A$55:$F$345,6,0),IFERROR(VLOOKUP($B285,'Privacy Analyst Evaluation'!$A$46:$F$120,6,0),""))&amp;""</f>
        <v/>
      </c>
      <c r="G285" s="210"/>
      <c r="H285" s="209" t="str">
        <f>IFERROR(IF($H284+1&gt;'(backend scoring)'!$Q$335,"",$H284+1),"")</f>
        <v/>
      </c>
      <c r="I285" s="209" t="str">
        <f>_xlfn.XLOOKUP($H285,'(backend scoring)'!$S$2:$S$333,'(backend scoring)'!$A$2:$A$333,"")</f>
        <v/>
      </c>
      <c r="J285" s="209" t="str">
        <f>IFERROR(VLOOKUP($I285,'Institution Evaluation'!$A$55:$F$345,2,0),IFERROR(VLOOKUP($I285,'Privacy Analyst Evaluation'!$A$46:$F$120,2,0),""))</f>
        <v/>
      </c>
      <c r="K285" s="209" t="str">
        <f>IFERROR(VLOOKUP($I285,'Institution Evaluation'!$A$55:$F$345,3,0),IFERROR(VLOOKUP($I285,'Privacy Analyst Evaluation'!$A$46:$F$120,3,0),""))&amp;""</f>
        <v/>
      </c>
      <c r="L285" s="209" t="str">
        <f>IFERROR(VLOOKUP($I285,'Institution Evaluation'!$A$55:$F$345,4,0),IFERROR(VLOOKUP($I285,'Privacy Analyst Evaluation'!$A$46:$F$120,4,0),""))&amp;""</f>
        <v/>
      </c>
      <c r="M285" s="209" t="str">
        <f>IFERROR(VLOOKUP($I285,'Institution Evaluation'!$A$55:$F$345,6,0),IFERROR(VLOOKUP($I285,'Privacy Analyst Evaluation'!$A$46:$F$120,6,0),""))&amp;""</f>
        <v/>
      </c>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row>
    <row r="286" spans="1:338" x14ac:dyDescent="0.3">
      <c r="A286" s="209" t="str">
        <f>IFERROR(IF($A285+1&gt;'(backend scoring)'!$T$335,"",$A285+1),"")</f>
        <v/>
      </c>
      <c r="B286" s="209" t="str">
        <f>_xlfn.XLOOKUP($A286,'(backend scoring)'!$V$2:$V$333,'(backend scoring)'!$A$2:$A$333,"")</f>
        <v/>
      </c>
      <c r="C286" s="209" t="str">
        <f>IFERROR(VLOOKUP($B286,'Institution Evaluation'!$A$55:$F$345,2,0),IFERROR(VLOOKUP($B286,'Privacy Analyst Evaluation'!$A$46:$F$120,2,0),""))&amp;""</f>
        <v/>
      </c>
      <c r="D286" s="209" t="str">
        <f>IFERROR(VLOOKUP($B286,'Institution Evaluation'!$A$55:$F$345,3,0),IFERROR(VLOOKUP($B286,'Privacy Analyst Evaluation'!$A$46:$F$120,3,0),""))&amp;""</f>
        <v/>
      </c>
      <c r="E286" s="209" t="str">
        <f>IFERROR(VLOOKUP($B286,'Institution Evaluation'!$A$55:$F$345,4,0),IFERROR(VLOOKUP($B286,'Privacy Analyst Evaluation'!$A$46:$F$120,4,0),""))&amp;""</f>
        <v/>
      </c>
      <c r="F286" s="209" t="str">
        <f>IFERROR(VLOOKUP($B286,'Institution Evaluation'!$A$55:$F$345,6,0),IFERROR(VLOOKUP($B286,'Privacy Analyst Evaluation'!$A$46:$F$120,6,0),""))&amp;""</f>
        <v/>
      </c>
      <c r="G286" s="210"/>
      <c r="H286" s="209" t="str">
        <f>IFERROR(IF($H285+1&gt;'(backend scoring)'!$Q$335,"",$H285+1),"")</f>
        <v/>
      </c>
      <c r="I286" s="209" t="str">
        <f>_xlfn.XLOOKUP($H286,'(backend scoring)'!$S$2:$S$333,'(backend scoring)'!$A$2:$A$333,"")</f>
        <v/>
      </c>
      <c r="J286" s="209" t="str">
        <f>IFERROR(VLOOKUP($I286,'Institution Evaluation'!$A$55:$F$345,2,0),IFERROR(VLOOKUP($I286,'Privacy Analyst Evaluation'!$A$46:$F$120,2,0),""))</f>
        <v/>
      </c>
      <c r="K286" s="209" t="str">
        <f>IFERROR(VLOOKUP($I286,'Institution Evaluation'!$A$55:$F$345,3,0),IFERROR(VLOOKUP($I286,'Privacy Analyst Evaluation'!$A$46:$F$120,3,0),""))&amp;""</f>
        <v/>
      </c>
      <c r="L286" s="209" t="str">
        <f>IFERROR(VLOOKUP($I286,'Institution Evaluation'!$A$55:$F$345,4,0),IFERROR(VLOOKUP($I286,'Privacy Analyst Evaluation'!$A$46:$F$120,4,0),""))&amp;""</f>
        <v/>
      </c>
      <c r="M286" s="209" t="str">
        <f>IFERROR(VLOOKUP($I286,'Institution Evaluation'!$A$55:$F$345,6,0),IFERROR(VLOOKUP($I286,'Privacy Analyst Evaluation'!$A$46:$F$120,6,0),""))&amp;""</f>
        <v/>
      </c>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row>
    <row r="287" spans="1:338" x14ac:dyDescent="0.3">
      <c r="A287" s="209" t="str">
        <f>IFERROR(IF($A286+1&gt;'(backend scoring)'!$T$335,"",$A286+1),"")</f>
        <v/>
      </c>
      <c r="B287" s="209" t="str">
        <f>_xlfn.XLOOKUP($A287,'(backend scoring)'!$V$2:$V$333,'(backend scoring)'!$A$2:$A$333,"")</f>
        <v/>
      </c>
      <c r="C287" s="209" t="str">
        <f>IFERROR(VLOOKUP($B287,'Institution Evaluation'!$A$55:$F$345,2,0),IFERROR(VLOOKUP($B287,'Privacy Analyst Evaluation'!$A$46:$F$120,2,0),""))&amp;""</f>
        <v/>
      </c>
      <c r="D287" s="209" t="str">
        <f>IFERROR(VLOOKUP($B287,'Institution Evaluation'!$A$55:$F$345,3,0),IFERROR(VLOOKUP($B287,'Privacy Analyst Evaluation'!$A$46:$F$120,3,0),""))&amp;""</f>
        <v/>
      </c>
      <c r="E287" s="209" t="str">
        <f>IFERROR(VLOOKUP($B287,'Institution Evaluation'!$A$55:$F$345,4,0),IFERROR(VLOOKUP($B287,'Privacy Analyst Evaluation'!$A$46:$F$120,4,0),""))&amp;""</f>
        <v/>
      </c>
      <c r="F287" s="209" t="str">
        <f>IFERROR(VLOOKUP($B287,'Institution Evaluation'!$A$55:$F$345,6,0),IFERROR(VLOOKUP($B287,'Privacy Analyst Evaluation'!$A$46:$F$120,6,0),""))&amp;""</f>
        <v/>
      </c>
      <c r="G287" s="210"/>
      <c r="H287" s="209" t="str">
        <f>IFERROR(IF($H286+1&gt;'(backend scoring)'!$Q$335,"",$H286+1),"")</f>
        <v/>
      </c>
      <c r="I287" s="209" t="str">
        <f>_xlfn.XLOOKUP($H287,'(backend scoring)'!$S$2:$S$333,'(backend scoring)'!$A$2:$A$333,"")</f>
        <v/>
      </c>
      <c r="J287" s="209" t="str">
        <f>IFERROR(VLOOKUP($I287,'Institution Evaluation'!$A$55:$F$345,2,0),IFERROR(VLOOKUP($I287,'Privacy Analyst Evaluation'!$A$46:$F$120,2,0),""))</f>
        <v/>
      </c>
      <c r="K287" s="209" t="str">
        <f>IFERROR(VLOOKUP($I287,'Institution Evaluation'!$A$55:$F$345,3,0),IFERROR(VLOOKUP($I287,'Privacy Analyst Evaluation'!$A$46:$F$120,3,0),""))&amp;""</f>
        <v/>
      </c>
      <c r="L287" s="209" t="str">
        <f>IFERROR(VLOOKUP($I287,'Institution Evaluation'!$A$55:$F$345,4,0),IFERROR(VLOOKUP($I287,'Privacy Analyst Evaluation'!$A$46:$F$120,4,0),""))&amp;""</f>
        <v/>
      </c>
      <c r="M287" s="209" t="str">
        <f>IFERROR(VLOOKUP($I287,'Institution Evaluation'!$A$55:$F$345,6,0),IFERROR(VLOOKUP($I287,'Privacy Analyst Evaluation'!$A$46:$F$120,6,0),""))&amp;""</f>
        <v/>
      </c>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row>
    <row r="288" spans="1:338" x14ac:dyDescent="0.3">
      <c r="A288" s="209" t="str">
        <f>IFERROR(IF($A287+1&gt;'(backend scoring)'!$T$335,"",$A287+1),"")</f>
        <v/>
      </c>
      <c r="B288" s="209" t="str">
        <f>_xlfn.XLOOKUP($A288,'(backend scoring)'!$V$2:$V$333,'(backend scoring)'!$A$2:$A$333,"")</f>
        <v/>
      </c>
      <c r="C288" s="209" t="str">
        <f>IFERROR(VLOOKUP($B288,'Institution Evaluation'!$A$55:$F$345,2,0),IFERROR(VLOOKUP($B288,'Privacy Analyst Evaluation'!$A$46:$F$120,2,0),""))&amp;""</f>
        <v/>
      </c>
      <c r="D288" s="209" t="str">
        <f>IFERROR(VLOOKUP($B288,'Institution Evaluation'!$A$55:$F$345,3,0),IFERROR(VLOOKUP($B288,'Privacy Analyst Evaluation'!$A$46:$F$120,3,0),""))&amp;""</f>
        <v/>
      </c>
      <c r="E288" s="209" t="str">
        <f>IFERROR(VLOOKUP($B288,'Institution Evaluation'!$A$55:$F$345,4,0),IFERROR(VLOOKUP($B288,'Privacy Analyst Evaluation'!$A$46:$F$120,4,0),""))&amp;""</f>
        <v/>
      </c>
      <c r="F288" s="209" t="str">
        <f>IFERROR(VLOOKUP($B288,'Institution Evaluation'!$A$55:$F$345,6,0),IFERROR(VLOOKUP($B288,'Privacy Analyst Evaluation'!$A$46:$F$120,6,0),""))&amp;""</f>
        <v/>
      </c>
      <c r="G288" s="210"/>
      <c r="H288" s="209" t="str">
        <f>IFERROR(IF($H287+1&gt;'(backend scoring)'!$Q$335,"",$H287+1),"")</f>
        <v/>
      </c>
      <c r="I288" s="209" t="str">
        <f>_xlfn.XLOOKUP($H288,'(backend scoring)'!$S$2:$S$333,'(backend scoring)'!$A$2:$A$333,"")</f>
        <v/>
      </c>
      <c r="J288" s="209" t="str">
        <f>IFERROR(VLOOKUP($I288,'Institution Evaluation'!$A$55:$F$345,2,0),IFERROR(VLOOKUP($I288,'Privacy Analyst Evaluation'!$A$46:$F$120,2,0),""))</f>
        <v/>
      </c>
      <c r="K288" s="209" t="str">
        <f>IFERROR(VLOOKUP($I288,'Institution Evaluation'!$A$55:$F$345,3,0),IFERROR(VLOOKUP($I288,'Privacy Analyst Evaluation'!$A$46:$F$120,3,0),""))&amp;""</f>
        <v/>
      </c>
      <c r="L288" s="209" t="str">
        <f>IFERROR(VLOOKUP($I288,'Institution Evaluation'!$A$55:$F$345,4,0),IFERROR(VLOOKUP($I288,'Privacy Analyst Evaluation'!$A$46:$F$120,4,0),""))&amp;""</f>
        <v/>
      </c>
      <c r="M288" s="209" t="str">
        <f>IFERROR(VLOOKUP($I288,'Institution Evaluation'!$A$55:$F$345,6,0),IFERROR(VLOOKUP($I288,'Privacy Analyst Evaluation'!$A$46:$F$120,6,0),""))&amp;""</f>
        <v/>
      </c>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row>
    <row r="289" spans="1:338" x14ac:dyDescent="0.3">
      <c r="A289" s="209" t="str">
        <f>IFERROR(IF($A288+1&gt;'(backend scoring)'!$T$335,"",$A288+1),"")</f>
        <v/>
      </c>
      <c r="B289" s="209" t="str">
        <f>_xlfn.XLOOKUP($A289,'(backend scoring)'!$V$2:$V$333,'(backend scoring)'!$A$2:$A$333,"")</f>
        <v/>
      </c>
      <c r="C289" s="209" t="str">
        <f>IFERROR(VLOOKUP($B289,'Institution Evaluation'!$A$55:$F$345,2,0),IFERROR(VLOOKUP($B289,'Privacy Analyst Evaluation'!$A$46:$F$120,2,0),""))&amp;""</f>
        <v/>
      </c>
      <c r="D289" s="209" t="str">
        <f>IFERROR(VLOOKUP($B289,'Institution Evaluation'!$A$55:$F$345,3,0),IFERROR(VLOOKUP($B289,'Privacy Analyst Evaluation'!$A$46:$F$120,3,0),""))&amp;""</f>
        <v/>
      </c>
      <c r="E289" s="209" t="str">
        <f>IFERROR(VLOOKUP($B289,'Institution Evaluation'!$A$55:$F$345,4,0),IFERROR(VLOOKUP($B289,'Privacy Analyst Evaluation'!$A$46:$F$120,4,0),""))&amp;""</f>
        <v/>
      </c>
      <c r="F289" s="209" t="str">
        <f>IFERROR(VLOOKUP($B289,'Institution Evaluation'!$A$55:$F$345,6,0),IFERROR(VLOOKUP($B289,'Privacy Analyst Evaluation'!$A$46:$F$120,6,0),""))&amp;""</f>
        <v/>
      </c>
      <c r="G289" s="210"/>
      <c r="H289" s="209" t="str">
        <f>IFERROR(IF($H288+1&gt;'(backend scoring)'!$Q$335,"",$H288+1),"")</f>
        <v/>
      </c>
      <c r="I289" s="209" t="str">
        <f>_xlfn.XLOOKUP($H289,'(backend scoring)'!$S$2:$S$333,'(backend scoring)'!$A$2:$A$333,"")</f>
        <v/>
      </c>
      <c r="J289" s="209" t="str">
        <f>IFERROR(VLOOKUP($I289,'Institution Evaluation'!$A$55:$F$345,2,0),IFERROR(VLOOKUP($I289,'Privacy Analyst Evaluation'!$A$46:$F$120,2,0),""))</f>
        <v/>
      </c>
      <c r="K289" s="209" t="str">
        <f>IFERROR(VLOOKUP($I289,'Institution Evaluation'!$A$55:$F$345,3,0),IFERROR(VLOOKUP($I289,'Privacy Analyst Evaluation'!$A$46:$F$120,3,0),""))&amp;""</f>
        <v/>
      </c>
      <c r="L289" s="209" t="str">
        <f>IFERROR(VLOOKUP($I289,'Institution Evaluation'!$A$55:$F$345,4,0),IFERROR(VLOOKUP($I289,'Privacy Analyst Evaluation'!$A$46:$F$120,4,0),""))&amp;""</f>
        <v/>
      </c>
      <c r="M289" s="209" t="str">
        <f>IFERROR(VLOOKUP($I289,'Institution Evaluation'!$A$55:$F$345,6,0),IFERROR(VLOOKUP($I289,'Privacy Analyst Evaluation'!$A$46:$F$120,6,0),""))&amp;""</f>
        <v/>
      </c>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row>
    <row r="290" spans="1:338" x14ac:dyDescent="0.3">
      <c r="A290" s="209" t="str">
        <f>IFERROR(IF($A289+1&gt;'(backend scoring)'!$T$335,"",$A289+1),"")</f>
        <v/>
      </c>
      <c r="B290" s="209" t="str">
        <f>_xlfn.XLOOKUP($A290,'(backend scoring)'!$V$2:$V$333,'(backend scoring)'!$A$2:$A$333,"")</f>
        <v/>
      </c>
      <c r="C290" s="209" t="str">
        <f>IFERROR(VLOOKUP($B290,'Institution Evaluation'!$A$55:$F$345,2,0),IFERROR(VLOOKUP($B290,'Privacy Analyst Evaluation'!$A$46:$F$120,2,0),""))&amp;""</f>
        <v/>
      </c>
      <c r="D290" s="209" t="str">
        <f>IFERROR(VLOOKUP($B290,'Institution Evaluation'!$A$55:$F$345,3,0),IFERROR(VLOOKUP($B290,'Privacy Analyst Evaluation'!$A$46:$F$120,3,0),""))&amp;""</f>
        <v/>
      </c>
      <c r="E290" s="209" t="str">
        <f>IFERROR(VLOOKUP($B290,'Institution Evaluation'!$A$55:$F$345,4,0),IFERROR(VLOOKUP($B290,'Privacy Analyst Evaluation'!$A$46:$F$120,4,0),""))&amp;""</f>
        <v/>
      </c>
      <c r="F290" s="209" t="str">
        <f>IFERROR(VLOOKUP($B290,'Institution Evaluation'!$A$55:$F$345,6,0),IFERROR(VLOOKUP($B290,'Privacy Analyst Evaluation'!$A$46:$F$120,6,0),""))&amp;""</f>
        <v/>
      </c>
      <c r="G290" s="210"/>
      <c r="H290" s="209" t="str">
        <f>IFERROR(IF($H289+1&gt;'(backend scoring)'!$Q$335,"",$H289+1),"")</f>
        <v/>
      </c>
      <c r="I290" s="209" t="str">
        <f>_xlfn.XLOOKUP($H290,'(backend scoring)'!$S$2:$S$333,'(backend scoring)'!$A$2:$A$333,"")</f>
        <v/>
      </c>
      <c r="J290" s="209" t="str">
        <f>IFERROR(VLOOKUP($I290,'Institution Evaluation'!$A$55:$F$345,2,0),IFERROR(VLOOKUP($I290,'Privacy Analyst Evaluation'!$A$46:$F$120,2,0),""))</f>
        <v/>
      </c>
      <c r="K290" s="209" t="str">
        <f>IFERROR(VLOOKUP($I290,'Institution Evaluation'!$A$55:$F$345,3,0),IFERROR(VLOOKUP($I290,'Privacy Analyst Evaluation'!$A$46:$F$120,3,0),""))&amp;""</f>
        <v/>
      </c>
      <c r="L290" s="209" t="str">
        <f>IFERROR(VLOOKUP($I290,'Institution Evaluation'!$A$55:$F$345,4,0),IFERROR(VLOOKUP($I290,'Privacy Analyst Evaluation'!$A$46:$F$120,4,0),""))&amp;""</f>
        <v/>
      </c>
      <c r="M290" s="209" t="str">
        <f>IFERROR(VLOOKUP($I290,'Institution Evaluation'!$A$55:$F$345,6,0),IFERROR(VLOOKUP($I290,'Privacy Analyst Evaluation'!$A$46:$F$120,6,0),""))&amp;""</f>
        <v/>
      </c>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row>
    <row r="291" spans="1:338" x14ac:dyDescent="0.3">
      <c r="A291" s="209" t="str">
        <f>IFERROR(IF($A290+1&gt;'(backend scoring)'!$T$335,"",$A290+1),"")</f>
        <v/>
      </c>
      <c r="B291" s="209" t="str">
        <f>_xlfn.XLOOKUP($A291,'(backend scoring)'!$V$2:$V$333,'(backend scoring)'!$A$2:$A$333,"")</f>
        <v/>
      </c>
      <c r="C291" s="209" t="str">
        <f>IFERROR(VLOOKUP($B291,'Institution Evaluation'!$A$55:$F$345,2,0),IFERROR(VLOOKUP($B291,'Privacy Analyst Evaluation'!$A$46:$F$120,2,0),""))&amp;""</f>
        <v/>
      </c>
      <c r="D291" s="209" t="str">
        <f>IFERROR(VLOOKUP($B291,'Institution Evaluation'!$A$55:$F$345,3,0),IFERROR(VLOOKUP($B291,'Privacy Analyst Evaluation'!$A$46:$F$120,3,0),""))&amp;""</f>
        <v/>
      </c>
      <c r="E291" s="209" t="str">
        <f>IFERROR(VLOOKUP($B291,'Institution Evaluation'!$A$55:$F$345,4,0),IFERROR(VLOOKUP($B291,'Privacy Analyst Evaluation'!$A$46:$F$120,4,0),""))&amp;""</f>
        <v/>
      </c>
      <c r="F291" s="209" t="str">
        <f>IFERROR(VLOOKUP($B291,'Institution Evaluation'!$A$55:$F$345,6,0),IFERROR(VLOOKUP($B291,'Privacy Analyst Evaluation'!$A$46:$F$120,6,0),""))&amp;""</f>
        <v/>
      </c>
      <c r="G291" s="210"/>
      <c r="H291" s="209" t="str">
        <f>IFERROR(IF($H290+1&gt;'(backend scoring)'!$Q$335,"",$H290+1),"")</f>
        <v/>
      </c>
      <c r="I291" s="209" t="str">
        <f>_xlfn.XLOOKUP($H291,'(backend scoring)'!$S$2:$S$333,'(backend scoring)'!$A$2:$A$333,"")</f>
        <v/>
      </c>
      <c r="J291" s="209" t="str">
        <f>IFERROR(VLOOKUP($I291,'Institution Evaluation'!$A$55:$F$345,2,0),IFERROR(VLOOKUP($I291,'Privacy Analyst Evaluation'!$A$46:$F$120,2,0),""))</f>
        <v/>
      </c>
      <c r="K291" s="209" t="str">
        <f>IFERROR(VLOOKUP($I291,'Institution Evaluation'!$A$55:$F$345,3,0),IFERROR(VLOOKUP($I291,'Privacy Analyst Evaluation'!$A$46:$F$120,3,0),""))&amp;""</f>
        <v/>
      </c>
      <c r="L291" s="209" t="str">
        <f>IFERROR(VLOOKUP($I291,'Institution Evaluation'!$A$55:$F$345,4,0),IFERROR(VLOOKUP($I291,'Privacy Analyst Evaluation'!$A$46:$F$120,4,0),""))&amp;""</f>
        <v/>
      </c>
      <c r="M291" s="209" t="str">
        <f>IFERROR(VLOOKUP($I291,'Institution Evaluation'!$A$55:$F$345,6,0),IFERROR(VLOOKUP($I291,'Privacy Analyst Evaluation'!$A$46:$F$120,6,0),""))&amp;""</f>
        <v/>
      </c>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row>
    <row r="292" spans="1:338" x14ac:dyDescent="0.3">
      <c r="A292" s="209" t="str">
        <f>IFERROR(IF($A291+1&gt;'(backend scoring)'!$T$335,"",$A291+1),"")</f>
        <v/>
      </c>
      <c r="B292" s="209" t="str">
        <f>_xlfn.XLOOKUP($A292,'(backend scoring)'!$V$2:$V$333,'(backend scoring)'!$A$2:$A$333,"")</f>
        <v/>
      </c>
      <c r="C292" s="209" t="str">
        <f>IFERROR(VLOOKUP($B292,'Institution Evaluation'!$A$55:$F$345,2,0),IFERROR(VLOOKUP($B292,'Privacy Analyst Evaluation'!$A$46:$F$120,2,0),""))&amp;""</f>
        <v/>
      </c>
      <c r="D292" s="209" t="str">
        <f>IFERROR(VLOOKUP($B292,'Institution Evaluation'!$A$55:$F$345,3,0),IFERROR(VLOOKUP($B292,'Privacy Analyst Evaluation'!$A$46:$F$120,3,0),""))&amp;""</f>
        <v/>
      </c>
      <c r="E292" s="209" t="str">
        <f>IFERROR(VLOOKUP($B292,'Institution Evaluation'!$A$55:$F$345,4,0),IFERROR(VLOOKUP($B292,'Privacy Analyst Evaluation'!$A$46:$F$120,4,0),""))&amp;""</f>
        <v/>
      </c>
      <c r="F292" s="209" t="str">
        <f>IFERROR(VLOOKUP($B292,'Institution Evaluation'!$A$55:$F$345,6,0),IFERROR(VLOOKUP($B292,'Privacy Analyst Evaluation'!$A$46:$F$120,6,0),""))&amp;""</f>
        <v/>
      </c>
      <c r="G292" s="210"/>
      <c r="H292" s="209" t="str">
        <f>IFERROR(IF($H291+1&gt;'(backend scoring)'!$Q$335,"",$H291+1),"")</f>
        <v/>
      </c>
      <c r="I292" s="209" t="str">
        <f>_xlfn.XLOOKUP($H292,'(backend scoring)'!$S$2:$S$333,'(backend scoring)'!$A$2:$A$333,"")</f>
        <v/>
      </c>
      <c r="J292" s="209" t="str">
        <f>IFERROR(VLOOKUP($I292,'Institution Evaluation'!$A$55:$F$345,2,0),IFERROR(VLOOKUP($I292,'Privacy Analyst Evaluation'!$A$46:$F$120,2,0),""))</f>
        <v/>
      </c>
      <c r="K292" s="209" t="str">
        <f>IFERROR(VLOOKUP($I292,'Institution Evaluation'!$A$55:$F$345,3,0),IFERROR(VLOOKUP($I292,'Privacy Analyst Evaluation'!$A$46:$F$120,3,0),""))&amp;""</f>
        <v/>
      </c>
      <c r="L292" s="209" t="str">
        <f>IFERROR(VLOOKUP($I292,'Institution Evaluation'!$A$55:$F$345,4,0),IFERROR(VLOOKUP($I292,'Privacy Analyst Evaluation'!$A$46:$F$120,4,0),""))&amp;""</f>
        <v/>
      </c>
      <c r="M292" s="209" t="str">
        <f>IFERROR(VLOOKUP($I292,'Institution Evaluation'!$A$55:$F$345,6,0),IFERROR(VLOOKUP($I292,'Privacy Analyst Evaluation'!$A$46:$F$120,6,0),""))&amp;""</f>
        <v/>
      </c>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c r="IB292"/>
      <c r="IC292"/>
      <c r="ID292"/>
      <c r="IE292"/>
      <c r="IF292"/>
      <c r="IG292"/>
      <c r="IH292"/>
      <c r="II292"/>
      <c r="IJ292"/>
      <c r="IK292"/>
      <c r="IL292"/>
      <c r="IM292"/>
      <c r="IN292"/>
      <c r="IO292"/>
      <c r="IP292"/>
      <c r="IQ292"/>
      <c r="IR292"/>
      <c r="IS292"/>
      <c r="IT292"/>
      <c r="IU292"/>
      <c r="IV292"/>
      <c r="IW292"/>
      <c r="IX292"/>
      <c r="IY292"/>
      <c r="IZ292"/>
      <c r="JA292"/>
      <c r="JB292"/>
      <c r="JC292"/>
      <c r="JD292"/>
      <c r="JE292"/>
      <c r="JF292"/>
      <c r="JG292"/>
      <c r="JH292"/>
      <c r="JI292"/>
      <c r="JJ292"/>
      <c r="JK292"/>
      <c r="JL292"/>
      <c r="JM292"/>
      <c r="JN292"/>
      <c r="JO292"/>
      <c r="JP292"/>
      <c r="JQ292"/>
      <c r="JR292"/>
      <c r="JS292"/>
      <c r="JT292"/>
      <c r="JU292"/>
      <c r="JV292"/>
      <c r="JW292"/>
      <c r="JX292"/>
      <c r="JY292"/>
      <c r="JZ292"/>
      <c r="KA292"/>
      <c r="KB292"/>
      <c r="KC292"/>
      <c r="KD292"/>
      <c r="KE292"/>
      <c r="KF292"/>
      <c r="KG292"/>
      <c r="KH292"/>
      <c r="KI292"/>
      <c r="KJ292"/>
      <c r="KK292"/>
      <c r="KL292"/>
      <c r="KM292"/>
      <c r="KN292"/>
      <c r="KO292"/>
      <c r="KP292"/>
      <c r="KQ292"/>
      <c r="KR292"/>
      <c r="KS292"/>
      <c r="KT292"/>
      <c r="KU292"/>
      <c r="KV292"/>
      <c r="KW292"/>
      <c r="KX292"/>
      <c r="KY292"/>
      <c r="KZ292"/>
      <c r="LA292"/>
      <c r="LB292"/>
      <c r="LC292"/>
      <c r="LD292"/>
      <c r="LE292"/>
      <c r="LF292"/>
      <c r="LG292"/>
      <c r="LH292"/>
      <c r="LI292"/>
      <c r="LJ292"/>
      <c r="LK292"/>
      <c r="LL292"/>
      <c r="LM292"/>
      <c r="LN292"/>
      <c r="LO292"/>
      <c r="LP292"/>
      <c r="LQ292"/>
      <c r="LR292"/>
      <c r="LS292"/>
      <c r="LT292"/>
      <c r="LU292"/>
      <c r="LV292"/>
      <c r="LW292"/>
      <c r="LX292"/>
      <c r="LY292"/>
      <c r="LZ292"/>
    </row>
    <row r="293" spans="1:338" x14ac:dyDescent="0.3">
      <c r="A293" s="209" t="str">
        <f>IFERROR(IF($A292+1&gt;'(backend scoring)'!$T$335,"",$A292+1),"")</f>
        <v/>
      </c>
      <c r="B293" s="209" t="str">
        <f>_xlfn.XLOOKUP($A293,'(backend scoring)'!$V$2:$V$333,'(backend scoring)'!$A$2:$A$333,"")</f>
        <v/>
      </c>
      <c r="C293" s="209" t="str">
        <f>IFERROR(VLOOKUP($B293,'Institution Evaluation'!$A$55:$F$345,2,0),IFERROR(VLOOKUP($B293,'Privacy Analyst Evaluation'!$A$46:$F$120,2,0),""))&amp;""</f>
        <v/>
      </c>
      <c r="D293" s="209" t="str">
        <f>IFERROR(VLOOKUP($B293,'Institution Evaluation'!$A$55:$F$345,3,0),IFERROR(VLOOKUP($B293,'Privacy Analyst Evaluation'!$A$46:$F$120,3,0),""))&amp;""</f>
        <v/>
      </c>
      <c r="E293" s="209" t="str">
        <f>IFERROR(VLOOKUP($B293,'Institution Evaluation'!$A$55:$F$345,4,0),IFERROR(VLOOKUP($B293,'Privacy Analyst Evaluation'!$A$46:$F$120,4,0),""))&amp;""</f>
        <v/>
      </c>
      <c r="F293" s="209" t="str">
        <f>IFERROR(VLOOKUP($B293,'Institution Evaluation'!$A$55:$F$345,6,0),IFERROR(VLOOKUP($B293,'Privacy Analyst Evaluation'!$A$46:$F$120,6,0),""))&amp;""</f>
        <v/>
      </c>
      <c r="G293" s="210"/>
      <c r="H293" s="209" t="str">
        <f>IFERROR(IF($H292+1&gt;'(backend scoring)'!$Q$335,"",$H292+1),"")</f>
        <v/>
      </c>
      <c r="I293" s="209" t="str">
        <f>_xlfn.XLOOKUP($H293,'(backend scoring)'!$S$2:$S$333,'(backend scoring)'!$A$2:$A$333,"")</f>
        <v/>
      </c>
      <c r="J293" s="209" t="str">
        <f>IFERROR(VLOOKUP($I293,'Institution Evaluation'!$A$55:$F$345,2,0),IFERROR(VLOOKUP($I293,'Privacy Analyst Evaluation'!$A$46:$F$120,2,0),""))</f>
        <v/>
      </c>
      <c r="K293" s="209" t="str">
        <f>IFERROR(VLOOKUP($I293,'Institution Evaluation'!$A$55:$F$345,3,0),IFERROR(VLOOKUP($I293,'Privacy Analyst Evaluation'!$A$46:$F$120,3,0),""))&amp;""</f>
        <v/>
      </c>
      <c r="L293" s="209" t="str">
        <f>IFERROR(VLOOKUP($I293,'Institution Evaluation'!$A$55:$F$345,4,0),IFERROR(VLOOKUP($I293,'Privacy Analyst Evaluation'!$A$46:$F$120,4,0),""))&amp;""</f>
        <v/>
      </c>
      <c r="M293" s="209" t="str">
        <f>IFERROR(VLOOKUP($I293,'Institution Evaluation'!$A$55:$F$345,6,0),IFERROR(VLOOKUP($I293,'Privacy Analyst Evaluation'!$A$46:$F$120,6,0),""))&amp;""</f>
        <v/>
      </c>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row>
    <row r="294" spans="1:338" x14ac:dyDescent="0.3">
      <c r="A294" s="209" t="str">
        <f>IFERROR(IF($A293+1&gt;'(backend scoring)'!$T$335,"",$A293+1),"")</f>
        <v/>
      </c>
      <c r="B294" s="209" t="str">
        <f>_xlfn.XLOOKUP($A294,'(backend scoring)'!$V$2:$V$333,'(backend scoring)'!$A$2:$A$333,"")</f>
        <v/>
      </c>
      <c r="C294" s="209" t="str">
        <f>IFERROR(VLOOKUP($B294,'Institution Evaluation'!$A$55:$F$345,2,0),IFERROR(VLOOKUP($B294,'Privacy Analyst Evaluation'!$A$46:$F$120,2,0),""))&amp;""</f>
        <v/>
      </c>
      <c r="D294" s="209" t="str">
        <f>IFERROR(VLOOKUP($B294,'Institution Evaluation'!$A$55:$F$345,3,0),IFERROR(VLOOKUP($B294,'Privacy Analyst Evaluation'!$A$46:$F$120,3,0),""))&amp;""</f>
        <v/>
      </c>
      <c r="E294" s="209" t="str">
        <f>IFERROR(VLOOKUP($B294,'Institution Evaluation'!$A$55:$F$345,4,0),IFERROR(VLOOKUP($B294,'Privacy Analyst Evaluation'!$A$46:$F$120,4,0),""))&amp;""</f>
        <v/>
      </c>
      <c r="F294" s="209" t="str">
        <f>IFERROR(VLOOKUP($B294,'Institution Evaluation'!$A$55:$F$345,6,0),IFERROR(VLOOKUP($B294,'Privacy Analyst Evaluation'!$A$46:$F$120,6,0),""))&amp;""</f>
        <v/>
      </c>
      <c r="G294" s="210"/>
      <c r="H294" s="209" t="str">
        <f>IFERROR(IF($H293+1&gt;'(backend scoring)'!$Q$335,"",$H293+1),"")</f>
        <v/>
      </c>
      <c r="I294" s="209" t="str">
        <f>_xlfn.XLOOKUP($H294,'(backend scoring)'!$S$2:$S$333,'(backend scoring)'!$A$2:$A$333,"")</f>
        <v/>
      </c>
      <c r="J294" s="209" t="str">
        <f>IFERROR(VLOOKUP($I294,'Institution Evaluation'!$A$55:$F$345,2,0),IFERROR(VLOOKUP($I294,'Privacy Analyst Evaluation'!$A$46:$F$120,2,0),""))</f>
        <v/>
      </c>
      <c r="K294" s="209" t="str">
        <f>IFERROR(VLOOKUP($I294,'Institution Evaluation'!$A$55:$F$345,3,0),IFERROR(VLOOKUP($I294,'Privacy Analyst Evaluation'!$A$46:$F$120,3,0),""))&amp;""</f>
        <v/>
      </c>
      <c r="L294" s="209" t="str">
        <f>IFERROR(VLOOKUP($I294,'Institution Evaluation'!$A$55:$F$345,4,0),IFERROR(VLOOKUP($I294,'Privacy Analyst Evaluation'!$A$46:$F$120,4,0),""))&amp;""</f>
        <v/>
      </c>
      <c r="M294" s="209" t="str">
        <f>IFERROR(VLOOKUP($I294,'Institution Evaluation'!$A$55:$F$345,6,0),IFERROR(VLOOKUP($I294,'Privacy Analyst Evaluation'!$A$46:$F$120,6,0),""))&amp;""</f>
        <v/>
      </c>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row>
    <row r="295" spans="1:338" x14ac:dyDescent="0.3">
      <c r="A295" s="209" t="str">
        <f>IFERROR(IF($A294+1&gt;'(backend scoring)'!$T$335,"",$A294+1),"")</f>
        <v/>
      </c>
      <c r="B295" s="209" t="str">
        <f>_xlfn.XLOOKUP($A295,'(backend scoring)'!$V$2:$V$333,'(backend scoring)'!$A$2:$A$333,"")</f>
        <v/>
      </c>
      <c r="C295" s="209" t="str">
        <f>IFERROR(VLOOKUP($B295,'Institution Evaluation'!$A$55:$F$345,2,0),IFERROR(VLOOKUP($B295,'Privacy Analyst Evaluation'!$A$46:$F$120,2,0),""))&amp;""</f>
        <v/>
      </c>
      <c r="D295" s="209" t="str">
        <f>IFERROR(VLOOKUP($B295,'Institution Evaluation'!$A$55:$F$345,3,0),IFERROR(VLOOKUP($B295,'Privacy Analyst Evaluation'!$A$46:$F$120,3,0),""))&amp;""</f>
        <v/>
      </c>
      <c r="E295" s="209" t="str">
        <f>IFERROR(VLOOKUP($B295,'Institution Evaluation'!$A$55:$F$345,4,0),IFERROR(VLOOKUP($B295,'Privacy Analyst Evaluation'!$A$46:$F$120,4,0),""))&amp;""</f>
        <v/>
      </c>
      <c r="F295" s="209" t="str">
        <f>IFERROR(VLOOKUP($B295,'Institution Evaluation'!$A$55:$F$345,6,0),IFERROR(VLOOKUP($B295,'Privacy Analyst Evaluation'!$A$46:$F$120,6,0),""))&amp;""</f>
        <v/>
      </c>
      <c r="G295" s="210"/>
      <c r="H295" s="209" t="str">
        <f>IFERROR(IF($H294+1&gt;'(backend scoring)'!$Q$335,"",$H294+1),"")</f>
        <v/>
      </c>
      <c r="I295" s="209" t="str">
        <f>_xlfn.XLOOKUP($H295,'(backend scoring)'!$S$2:$S$333,'(backend scoring)'!$A$2:$A$333,"")</f>
        <v/>
      </c>
      <c r="J295" s="209" t="str">
        <f>IFERROR(VLOOKUP($I295,'Institution Evaluation'!$A$55:$F$345,2,0),IFERROR(VLOOKUP($I295,'Privacy Analyst Evaluation'!$A$46:$F$120,2,0),""))</f>
        <v/>
      </c>
      <c r="K295" s="209" t="str">
        <f>IFERROR(VLOOKUP($I295,'Institution Evaluation'!$A$55:$F$345,3,0),IFERROR(VLOOKUP($I295,'Privacy Analyst Evaluation'!$A$46:$F$120,3,0),""))&amp;""</f>
        <v/>
      </c>
      <c r="L295" s="209" t="str">
        <f>IFERROR(VLOOKUP($I295,'Institution Evaluation'!$A$55:$F$345,4,0),IFERROR(VLOOKUP($I295,'Privacy Analyst Evaluation'!$A$46:$F$120,4,0),""))&amp;""</f>
        <v/>
      </c>
      <c r="M295" s="209" t="str">
        <f>IFERROR(VLOOKUP($I295,'Institution Evaluation'!$A$55:$F$345,6,0),IFERROR(VLOOKUP($I295,'Privacy Analyst Evaluation'!$A$46:$F$120,6,0),""))&amp;""</f>
        <v/>
      </c>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row>
    <row r="296" spans="1:338" x14ac:dyDescent="0.3">
      <c r="A296" s="209" t="str">
        <f>IFERROR(IF($A295+1&gt;'(backend scoring)'!$T$335,"",$A295+1),"")</f>
        <v/>
      </c>
      <c r="B296" s="209" t="str">
        <f>_xlfn.XLOOKUP($A296,'(backend scoring)'!$V$2:$V$333,'(backend scoring)'!$A$2:$A$333,"")</f>
        <v/>
      </c>
      <c r="C296" s="209" t="str">
        <f>IFERROR(VLOOKUP($B296,'Institution Evaluation'!$A$55:$F$345,2,0),IFERROR(VLOOKUP($B296,'Privacy Analyst Evaluation'!$A$46:$F$120,2,0),""))&amp;""</f>
        <v/>
      </c>
      <c r="D296" s="209" t="str">
        <f>IFERROR(VLOOKUP($B296,'Institution Evaluation'!$A$55:$F$345,3,0),IFERROR(VLOOKUP($B296,'Privacy Analyst Evaluation'!$A$46:$F$120,3,0),""))&amp;""</f>
        <v/>
      </c>
      <c r="E296" s="209" t="str">
        <f>IFERROR(VLOOKUP($B296,'Institution Evaluation'!$A$55:$F$345,4,0),IFERROR(VLOOKUP($B296,'Privacy Analyst Evaluation'!$A$46:$F$120,4,0),""))&amp;""</f>
        <v/>
      </c>
      <c r="F296" s="209" t="str">
        <f>IFERROR(VLOOKUP($B296,'Institution Evaluation'!$A$55:$F$345,6,0),IFERROR(VLOOKUP($B296,'Privacy Analyst Evaluation'!$A$46:$F$120,6,0),""))&amp;""</f>
        <v/>
      </c>
      <c r="G296" s="210"/>
      <c r="H296" s="209" t="str">
        <f>IFERROR(IF($H295+1&gt;'(backend scoring)'!$Q$335,"",$H295+1),"")</f>
        <v/>
      </c>
      <c r="I296" s="209" t="str">
        <f>_xlfn.XLOOKUP($H296,'(backend scoring)'!$S$2:$S$333,'(backend scoring)'!$A$2:$A$333,"")</f>
        <v/>
      </c>
      <c r="J296" s="209" t="str">
        <f>IFERROR(VLOOKUP($I296,'Institution Evaluation'!$A$55:$F$345,2,0),IFERROR(VLOOKUP($I296,'Privacy Analyst Evaluation'!$A$46:$F$120,2,0),""))</f>
        <v/>
      </c>
      <c r="K296" s="209" t="str">
        <f>IFERROR(VLOOKUP($I296,'Institution Evaluation'!$A$55:$F$345,3,0),IFERROR(VLOOKUP($I296,'Privacy Analyst Evaluation'!$A$46:$F$120,3,0),""))&amp;""</f>
        <v/>
      </c>
      <c r="L296" s="209" t="str">
        <f>IFERROR(VLOOKUP($I296,'Institution Evaluation'!$A$55:$F$345,4,0),IFERROR(VLOOKUP($I296,'Privacy Analyst Evaluation'!$A$46:$F$120,4,0),""))&amp;""</f>
        <v/>
      </c>
      <c r="M296" s="209" t="str">
        <f>IFERROR(VLOOKUP($I296,'Institution Evaluation'!$A$55:$F$345,6,0),IFERROR(VLOOKUP($I296,'Privacy Analyst Evaluation'!$A$46:$F$120,6,0),""))&amp;""</f>
        <v/>
      </c>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row>
    <row r="297" spans="1:338" x14ac:dyDescent="0.3">
      <c r="A297" s="209" t="str">
        <f>IFERROR(IF($A296+1&gt;'(backend scoring)'!$T$335,"",$A296+1),"")</f>
        <v/>
      </c>
      <c r="B297" s="209" t="str">
        <f>_xlfn.XLOOKUP($A297,'(backend scoring)'!$V$2:$V$333,'(backend scoring)'!$A$2:$A$333,"")</f>
        <v/>
      </c>
      <c r="C297" s="209" t="str">
        <f>IFERROR(VLOOKUP($B297,'Institution Evaluation'!$A$55:$F$345,2,0),IFERROR(VLOOKUP($B297,'Privacy Analyst Evaluation'!$A$46:$F$120,2,0),""))&amp;""</f>
        <v/>
      </c>
      <c r="D297" s="209" t="str">
        <f>IFERROR(VLOOKUP($B297,'Institution Evaluation'!$A$55:$F$345,3,0),IFERROR(VLOOKUP($B297,'Privacy Analyst Evaluation'!$A$46:$F$120,3,0),""))&amp;""</f>
        <v/>
      </c>
      <c r="E297" s="209" t="str">
        <f>IFERROR(VLOOKUP($B297,'Institution Evaluation'!$A$55:$F$345,4,0),IFERROR(VLOOKUP($B297,'Privacy Analyst Evaluation'!$A$46:$F$120,4,0),""))&amp;""</f>
        <v/>
      </c>
      <c r="F297" s="209" t="str">
        <f>IFERROR(VLOOKUP($B297,'Institution Evaluation'!$A$55:$F$345,6,0),IFERROR(VLOOKUP($B297,'Privacy Analyst Evaluation'!$A$46:$F$120,6,0),""))&amp;""</f>
        <v/>
      </c>
      <c r="G297" s="210"/>
      <c r="H297" s="209" t="str">
        <f>IFERROR(IF($H296+1&gt;'(backend scoring)'!$Q$335,"",$H296+1),"")</f>
        <v/>
      </c>
      <c r="I297" s="209" t="str">
        <f>_xlfn.XLOOKUP($H297,'(backend scoring)'!$S$2:$S$333,'(backend scoring)'!$A$2:$A$333,"")</f>
        <v/>
      </c>
      <c r="J297" s="209" t="str">
        <f>IFERROR(VLOOKUP($I297,'Institution Evaluation'!$A$55:$F$345,2,0),IFERROR(VLOOKUP($I297,'Privacy Analyst Evaluation'!$A$46:$F$120,2,0),""))</f>
        <v/>
      </c>
      <c r="K297" s="209" t="str">
        <f>IFERROR(VLOOKUP($I297,'Institution Evaluation'!$A$55:$F$345,3,0),IFERROR(VLOOKUP($I297,'Privacy Analyst Evaluation'!$A$46:$F$120,3,0),""))&amp;""</f>
        <v/>
      </c>
      <c r="L297" s="209" t="str">
        <f>IFERROR(VLOOKUP($I297,'Institution Evaluation'!$A$55:$F$345,4,0),IFERROR(VLOOKUP($I297,'Privacy Analyst Evaluation'!$A$46:$F$120,4,0),""))&amp;""</f>
        <v/>
      </c>
      <c r="M297" s="209" t="str">
        <f>IFERROR(VLOOKUP($I297,'Institution Evaluation'!$A$55:$F$345,6,0),IFERROR(VLOOKUP($I297,'Privacy Analyst Evaluation'!$A$46:$F$120,6,0),""))&amp;""</f>
        <v/>
      </c>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row>
    <row r="298" spans="1:338" x14ac:dyDescent="0.3">
      <c r="A298" s="209" t="str">
        <f>IFERROR(IF($A297+1&gt;'(backend scoring)'!$T$335,"",$A297+1),"")</f>
        <v/>
      </c>
      <c r="B298" s="209" t="str">
        <f>_xlfn.XLOOKUP($A298,'(backend scoring)'!$V$2:$V$333,'(backend scoring)'!$A$2:$A$333,"")</f>
        <v/>
      </c>
      <c r="C298" s="209" t="str">
        <f>IFERROR(VLOOKUP($B298,'Institution Evaluation'!$A$55:$F$345,2,0),IFERROR(VLOOKUP($B298,'Privacy Analyst Evaluation'!$A$46:$F$120,2,0),""))&amp;""</f>
        <v/>
      </c>
      <c r="D298" s="209" t="str">
        <f>IFERROR(VLOOKUP($B298,'Institution Evaluation'!$A$55:$F$345,3,0),IFERROR(VLOOKUP($B298,'Privacy Analyst Evaluation'!$A$46:$F$120,3,0),""))&amp;""</f>
        <v/>
      </c>
      <c r="E298" s="209" t="str">
        <f>IFERROR(VLOOKUP($B298,'Institution Evaluation'!$A$55:$F$345,4,0),IFERROR(VLOOKUP($B298,'Privacy Analyst Evaluation'!$A$46:$F$120,4,0),""))&amp;""</f>
        <v/>
      </c>
      <c r="F298" s="209" t="str">
        <f>IFERROR(VLOOKUP($B298,'Institution Evaluation'!$A$55:$F$345,6,0),IFERROR(VLOOKUP($B298,'Privacy Analyst Evaluation'!$A$46:$F$120,6,0),""))&amp;""</f>
        <v/>
      </c>
      <c r="G298" s="210"/>
      <c r="H298" s="209" t="str">
        <f>IFERROR(IF($H297+1&gt;'(backend scoring)'!$Q$335,"",$H297+1),"")</f>
        <v/>
      </c>
      <c r="I298" s="209" t="str">
        <f>_xlfn.XLOOKUP($H298,'(backend scoring)'!$S$2:$S$333,'(backend scoring)'!$A$2:$A$333,"")</f>
        <v/>
      </c>
      <c r="J298" s="209" t="str">
        <f>IFERROR(VLOOKUP($I298,'Institution Evaluation'!$A$55:$F$345,2,0),IFERROR(VLOOKUP($I298,'Privacy Analyst Evaluation'!$A$46:$F$120,2,0),""))</f>
        <v/>
      </c>
      <c r="K298" s="209" t="str">
        <f>IFERROR(VLOOKUP($I298,'Institution Evaluation'!$A$55:$F$345,3,0),IFERROR(VLOOKUP($I298,'Privacy Analyst Evaluation'!$A$46:$F$120,3,0),""))&amp;""</f>
        <v/>
      </c>
      <c r="L298" s="209" t="str">
        <f>IFERROR(VLOOKUP($I298,'Institution Evaluation'!$A$55:$F$345,4,0),IFERROR(VLOOKUP($I298,'Privacy Analyst Evaluation'!$A$46:$F$120,4,0),""))&amp;""</f>
        <v/>
      </c>
      <c r="M298" s="209" t="str">
        <f>IFERROR(VLOOKUP($I298,'Institution Evaluation'!$A$55:$F$345,6,0),IFERROR(VLOOKUP($I298,'Privacy Analyst Evaluation'!$A$46:$F$120,6,0),""))&amp;""</f>
        <v/>
      </c>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row>
    <row r="299" spans="1:338" x14ac:dyDescent="0.3">
      <c r="A299" s="209" t="str">
        <f>IFERROR(IF($A298+1&gt;'(backend scoring)'!$T$335,"",$A298+1),"")</f>
        <v/>
      </c>
      <c r="B299" s="209" t="str">
        <f>_xlfn.XLOOKUP($A299,'(backend scoring)'!$V$2:$V$333,'(backend scoring)'!$A$2:$A$333,"")</f>
        <v/>
      </c>
      <c r="C299" s="209" t="str">
        <f>IFERROR(VLOOKUP($B299,'Institution Evaluation'!$A$55:$F$345,2,0),IFERROR(VLOOKUP($B299,'Privacy Analyst Evaluation'!$A$46:$F$120,2,0),""))&amp;""</f>
        <v/>
      </c>
      <c r="D299" s="209" t="str">
        <f>IFERROR(VLOOKUP($B299,'Institution Evaluation'!$A$55:$F$345,3,0),IFERROR(VLOOKUP($B299,'Privacy Analyst Evaluation'!$A$46:$F$120,3,0),""))&amp;""</f>
        <v/>
      </c>
      <c r="E299" s="209" t="str">
        <f>IFERROR(VLOOKUP($B299,'Institution Evaluation'!$A$55:$F$345,4,0),IFERROR(VLOOKUP($B299,'Privacy Analyst Evaluation'!$A$46:$F$120,4,0),""))&amp;""</f>
        <v/>
      </c>
      <c r="F299" s="209" t="str">
        <f>IFERROR(VLOOKUP($B299,'Institution Evaluation'!$A$55:$F$345,6,0),IFERROR(VLOOKUP($B299,'Privacy Analyst Evaluation'!$A$46:$F$120,6,0),""))&amp;""</f>
        <v/>
      </c>
      <c r="G299" s="210"/>
      <c r="H299" s="209" t="str">
        <f>IFERROR(IF($H298+1&gt;'(backend scoring)'!$Q$335,"",$H298+1),"")</f>
        <v/>
      </c>
      <c r="I299" s="209" t="str">
        <f>_xlfn.XLOOKUP($H299,'(backend scoring)'!$S$2:$S$333,'(backend scoring)'!$A$2:$A$333,"")</f>
        <v/>
      </c>
      <c r="J299" s="209" t="str">
        <f>IFERROR(VLOOKUP($I299,'Institution Evaluation'!$A$55:$F$345,2,0),IFERROR(VLOOKUP($I299,'Privacy Analyst Evaluation'!$A$46:$F$120,2,0),""))</f>
        <v/>
      </c>
      <c r="K299" s="209" t="str">
        <f>IFERROR(VLOOKUP($I299,'Institution Evaluation'!$A$55:$F$345,3,0),IFERROR(VLOOKUP($I299,'Privacy Analyst Evaluation'!$A$46:$F$120,3,0),""))&amp;""</f>
        <v/>
      </c>
      <c r="L299" s="209" t="str">
        <f>IFERROR(VLOOKUP($I299,'Institution Evaluation'!$A$55:$F$345,4,0),IFERROR(VLOOKUP($I299,'Privacy Analyst Evaluation'!$A$46:$F$120,4,0),""))&amp;""</f>
        <v/>
      </c>
      <c r="M299" s="209" t="str">
        <f>IFERROR(VLOOKUP($I299,'Institution Evaluation'!$A$55:$F$345,6,0),IFERROR(VLOOKUP($I299,'Privacy Analyst Evaluation'!$A$46:$F$120,6,0),""))&amp;""</f>
        <v/>
      </c>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row>
    <row r="300" spans="1:338" x14ac:dyDescent="0.3">
      <c r="A300" s="209" t="str">
        <f>IFERROR(IF($A299+1&gt;'(backend scoring)'!$T$335,"",$A299+1),"")</f>
        <v/>
      </c>
      <c r="B300" s="209" t="str">
        <f>_xlfn.XLOOKUP($A300,'(backend scoring)'!$V$2:$V$333,'(backend scoring)'!$A$2:$A$333,"")</f>
        <v/>
      </c>
      <c r="C300" s="209" t="str">
        <f>IFERROR(VLOOKUP($B300,'Institution Evaluation'!$A$55:$F$345,2,0),IFERROR(VLOOKUP($B300,'Privacy Analyst Evaluation'!$A$46:$F$120,2,0),""))&amp;""</f>
        <v/>
      </c>
      <c r="D300" s="209" t="str">
        <f>IFERROR(VLOOKUP($B300,'Institution Evaluation'!$A$55:$F$345,3,0),IFERROR(VLOOKUP($B300,'Privacy Analyst Evaluation'!$A$46:$F$120,3,0),""))&amp;""</f>
        <v/>
      </c>
      <c r="E300" s="209" t="str">
        <f>IFERROR(VLOOKUP($B300,'Institution Evaluation'!$A$55:$F$345,4,0),IFERROR(VLOOKUP($B300,'Privacy Analyst Evaluation'!$A$46:$F$120,4,0),""))&amp;""</f>
        <v/>
      </c>
      <c r="F300" s="209" t="str">
        <f>IFERROR(VLOOKUP($B300,'Institution Evaluation'!$A$55:$F$345,6,0),IFERROR(VLOOKUP($B300,'Privacy Analyst Evaluation'!$A$46:$F$120,6,0),""))&amp;""</f>
        <v/>
      </c>
      <c r="G300" s="210"/>
      <c r="H300" s="209" t="str">
        <f>IFERROR(IF($H299+1&gt;'(backend scoring)'!$Q$335,"",$H299+1),"")</f>
        <v/>
      </c>
      <c r="I300" s="209" t="str">
        <f>_xlfn.XLOOKUP($H300,'(backend scoring)'!$S$2:$S$333,'(backend scoring)'!$A$2:$A$333,"")</f>
        <v/>
      </c>
      <c r="J300" s="209" t="str">
        <f>IFERROR(VLOOKUP($I300,'Institution Evaluation'!$A$55:$F$345,2,0),IFERROR(VLOOKUP($I300,'Privacy Analyst Evaluation'!$A$46:$F$120,2,0),""))</f>
        <v/>
      </c>
      <c r="K300" s="209" t="str">
        <f>IFERROR(VLOOKUP($I300,'Institution Evaluation'!$A$55:$F$345,3,0),IFERROR(VLOOKUP($I300,'Privacy Analyst Evaluation'!$A$46:$F$120,3,0),""))&amp;""</f>
        <v/>
      </c>
      <c r="L300" s="209" t="str">
        <f>IFERROR(VLOOKUP($I300,'Institution Evaluation'!$A$55:$F$345,4,0),IFERROR(VLOOKUP($I300,'Privacy Analyst Evaluation'!$A$46:$F$120,4,0),""))&amp;""</f>
        <v/>
      </c>
      <c r="M300" s="209" t="str">
        <f>IFERROR(VLOOKUP($I300,'Institution Evaluation'!$A$55:$F$345,6,0),IFERROR(VLOOKUP($I300,'Privacy Analyst Evaluation'!$A$46:$F$120,6,0),""))&amp;""</f>
        <v/>
      </c>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row>
    <row r="301" spans="1:338" x14ac:dyDescent="0.3">
      <c r="A301" s="209" t="str">
        <f>IFERROR(IF($A300+1&gt;'(backend scoring)'!$T$335,"",$A300+1),"")</f>
        <v/>
      </c>
      <c r="B301" s="209" t="str">
        <f>_xlfn.XLOOKUP($A301,'(backend scoring)'!$V$2:$V$333,'(backend scoring)'!$A$2:$A$333,"")</f>
        <v/>
      </c>
      <c r="C301" s="209" t="str">
        <f>IFERROR(VLOOKUP($B301,'Institution Evaluation'!$A$55:$F$345,2,0),IFERROR(VLOOKUP($B301,'Privacy Analyst Evaluation'!$A$46:$F$120,2,0),""))&amp;""</f>
        <v/>
      </c>
      <c r="D301" s="209" t="str">
        <f>IFERROR(VLOOKUP($B301,'Institution Evaluation'!$A$55:$F$345,3,0),IFERROR(VLOOKUP($B301,'Privacy Analyst Evaluation'!$A$46:$F$120,3,0),""))&amp;""</f>
        <v/>
      </c>
      <c r="E301" s="209" t="str">
        <f>IFERROR(VLOOKUP($B301,'Institution Evaluation'!$A$55:$F$345,4,0),IFERROR(VLOOKUP($B301,'Privacy Analyst Evaluation'!$A$46:$F$120,4,0),""))&amp;""</f>
        <v/>
      </c>
      <c r="F301" s="209" t="str">
        <f>IFERROR(VLOOKUP($B301,'Institution Evaluation'!$A$55:$F$345,6,0),IFERROR(VLOOKUP($B301,'Privacy Analyst Evaluation'!$A$46:$F$120,6,0),""))&amp;""</f>
        <v/>
      </c>
      <c r="G301" s="210"/>
      <c r="H301" s="209" t="str">
        <f>IFERROR(IF($H300+1&gt;'(backend scoring)'!$Q$335,"",$H300+1),"")</f>
        <v/>
      </c>
      <c r="I301" s="209" t="str">
        <f>_xlfn.XLOOKUP($H301,'(backend scoring)'!$S$2:$S$333,'(backend scoring)'!$A$2:$A$333,"")</f>
        <v/>
      </c>
      <c r="J301" s="209" t="str">
        <f>IFERROR(VLOOKUP($I301,'Institution Evaluation'!$A$55:$F$345,2,0),IFERROR(VLOOKUP($I301,'Privacy Analyst Evaluation'!$A$46:$F$120,2,0),""))</f>
        <v/>
      </c>
      <c r="K301" s="209" t="str">
        <f>IFERROR(VLOOKUP($I301,'Institution Evaluation'!$A$55:$F$345,3,0),IFERROR(VLOOKUP($I301,'Privacy Analyst Evaluation'!$A$46:$F$120,3,0),""))&amp;""</f>
        <v/>
      </c>
      <c r="L301" s="209" t="str">
        <f>IFERROR(VLOOKUP($I301,'Institution Evaluation'!$A$55:$F$345,4,0),IFERROR(VLOOKUP($I301,'Privacy Analyst Evaluation'!$A$46:$F$120,4,0),""))&amp;""</f>
        <v/>
      </c>
      <c r="M301" s="209" t="str">
        <f>IFERROR(VLOOKUP($I301,'Institution Evaluation'!$A$55:$F$345,6,0),IFERROR(VLOOKUP($I301,'Privacy Analyst Evaluation'!$A$46:$F$120,6,0),""))&amp;""</f>
        <v/>
      </c>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row>
    <row r="302" spans="1:338" x14ac:dyDescent="0.3">
      <c r="A302" s="209" t="str">
        <f>IFERROR(IF($A301+1&gt;'(backend scoring)'!$T$335,"",$A301+1),"")</f>
        <v/>
      </c>
      <c r="B302" s="209" t="str">
        <f>_xlfn.XLOOKUP($A302,'(backend scoring)'!$V$2:$V$333,'(backend scoring)'!$A$2:$A$333,"")</f>
        <v/>
      </c>
      <c r="C302" s="209" t="str">
        <f>IFERROR(VLOOKUP($B302,'Institution Evaluation'!$A$55:$F$345,2,0),IFERROR(VLOOKUP($B302,'Privacy Analyst Evaluation'!$A$46:$F$120,2,0),""))&amp;""</f>
        <v/>
      </c>
      <c r="D302" s="209" t="str">
        <f>IFERROR(VLOOKUP($B302,'Institution Evaluation'!$A$55:$F$345,3,0),IFERROR(VLOOKUP($B302,'Privacy Analyst Evaluation'!$A$46:$F$120,3,0),""))&amp;""</f>
        <v/>
      </c>
      <c r="E302" s="209" t="str">
        <f>IFERROR(VLOOKUP($B302,'Institution Evaluation'!$A$55:$F$345,4,0),IFERROR(VLOOKUP($B302,'Privacy Analyst Evaluation'!$A$46:$F$120,4,0),""))&amp;""</f>
        <v/>
      </c>
      <c r="F302" s="209" t="str">
        <f>IFERROR(VLOOKUP($B302,'Institution Evaluation'!$A$55:$F$345,6,0),IFERROR(VLOOKUP($B302,'Privacy Analyst Evaluation'!$A$46:$F$120,6,0),""))&amp;""</f>
        <v/>
      </c>
      <c r="G302" s="210"/>
      <c r="H302" s="209" t="str">
        <f>IFERROR(IF($H301+1&gt;'(backend scoring)'!$Q$335,"",$H301+1),"")</f>
        <v/>
      </c>
      <c r="I302" s="209" t="str">
        <f>_xlfn.XLOOKUP($H302,'(backend scoring)'!$S$2:$S$333,'(backend scoring)'!$A$2:$A$333,"")</f>
        <v/>
      </c>
      <c r="J302" s="209" t="str">
        <f>IFERROR(VLOOKUP($I302,'Institution Evaluation'!$A$55:$F$345,2,0),IFERROR(VLOOKUP($I302,'Privacy Analyst Evaluation'!$A$46:$F$120,2,0),""))</f>
        <v/>
      </c>
      <c r="K302" s="209" t="str">
        <f>IFERROR(VLOOKUP($I302,'Institution Evaluation'!$A$55:$F$345,3,0),IFERROR(VLOOKUP($I302,'Privacy Analyst Evaluation'!$A$46:$F$120,3,0),""))&amp;""</f>
        <v/>
      </c>
      <c r="L302" s="209" t="str">
        <f>IFERROR(VLOOKUP($I302,'Institution Evaluation'!$A$55:$F$345,4,0),IFERROR(VLOOKUP($I302,'Privacy Analyst Evaluation'!$A$46:$F$120,4,0),""))&amp;""</f>
        <v/>
      </c>
      <c r="M302" s="209" t="str">
        <f>IFERROR(VLOOKUP($I302,'Institution Evaluation'!$A$55:$F$345,6,0),IFERROR(VLOOKUP($I302,'Privacy Analyst Evaluation'!$A$46:$F$120,6,0),""))&amp;""</f>
        <v/>
      </c>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row>
    <row r="303" spans="1:338" x14ac:dyDescent="0.3">
      <c r="A303" s="209" t="str">
        <f>IFERROR(IF($A302+1&gt;'(backend scoring)'!$T$335,"",$A302+1),"")</f>
        <v/>
      </c>
      <c r="B303" s="209" t="str">
        <f>_xlfn.XLOOKUP($A303,'(backend scoring)'!$V$2:$V$333,'(backend scoring)'!$A$2:$A$333,"")</f>
        <v/>
      </c>
      <c r="C303" s="209" t="str">
        <f>IFERROR(VLOOKUP($B303,'Institution Evaluation'!$A$55:$F$345,2,0),IFERROR(VLOOKUP($B303,'Privacy Analyst Evaluation'!$A$46:$F$120,2,0),""))&amp;""</f>
        <v/>
      </c>
      <c r="D303" s="209" t="str">
        <f>IFERROR(VLOOKUP($B303,'Institution Evaluation'!$A$55:$F$345,3,0),IFERROR(VLOOKUP($B303,'Privacy Analyst Evaluation'!$A$46:$F$120,3,0),""))&amp;""</f>
        <v/>
      </c>
      <c r="E303" s="209" t="str">
        <f>IFERROR(VLOOKUP($B303,'Institution Evaluation'!$A$55:$F$345,4,0),IFERROR(VLOOKUP($B303,'Privacy Analyst Evaluation'!$A$46:$F$120,4,0),""))&amp;""</f>
        <v/>
      </c>
      <c r="F303" s="209" t="str">
        <f>IFERROR(VLOOKUP($B303,'Institution Evaluation'!$A$55:$F$345,6,0),IFERROR(VLOOKUP($B303,'Privacy Analyst Evaluation'!$A$46:$F$120,6,0),""))&amp;""</f>
        <v/>
      </c>
      <c r="G303" s="210"/>
      <c r="H303" s="209" t="str">
        <f>IFERROR(IF($H302+1&gt;'(backend scoring)'!$Q$335,"",$H302+1),"")</f>
        <v/>
      </c>
      <c r="I303" s="209" t="str">
        <f>_xlfn.XLOOKUP($H303,'(backend scoring)'!$S$2:$S$333,'(backend scoring)'!$A$2:$A$333,"")</f>
        <v/>
      </c>
      <c r="J303" s="209" t="str">
        <f>IFERROR(VLOOKUP($I303,'Institution Evaluation'!$A$55:$F$345,2,0),IFERROR(VLOOKUP($I303,'Privacy Analyst Evaluation'!$A$46:$F$120,2,0),""))</f>
        <v/>
      </c>
      <c r="K303" s="209" t="str">
        <f>IFERROR(VLOOKUP($I303,'Institution Evaluation'!$A$55:$F$345,3,0),IFERROR(VLOOKUP($I303,'Privacy Analyst Evaluation'!$A$46:$F$120,3,0),""))&amp;""</f>
        <v/>
      </c>
      <c r="L303" s="209" t="str">
        <f>IFERROR(VLOOKUP($I303,'Institution Evaluation'!$A$55:$F$345,4,0),IFERROR(VLOOKUP($I303,'Privacy Analyst Evaluation'!$A$46:$F$120,4,0),""))&amp;""</f>
        <v/>
      </c>
      <c r="M303" s="209" t="str">
        <f>IFERROR(VLOOKUP($I303,'Institution Evaluation'!$A$55:$F$345,6,0),IFERROR(VLOOKUP($I303,'Privacy Analyst Evaluation'!$A$46:$F$120,6,0),""))&amp;""</f>
        <v/>
      </c>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row>
    <row r="304" spans="1:338" x14ac:dyDescent="0.3">
      <c r="A304" s="209" t="str">
        <f>IFERROR(IF($A303+1&gt;'(backend scoring)'!$T$335,"",$A303+1),"")</f>
        <v/>
      </c>
      <c r="B304" s="209" t="str">
        <f>_xlfn.XLOOKUP($A304,'(backend scoring)'!$V$2:$V$333,'(backend scoring)'!$A$2:$A$333,"")</f>
        <v/>
      </c>
      <c r="C304" s="209" t="str">
        <f>IFERROR(VLOOKUP($B304,'Institution Evaluation'!$A$55:$F$345,2,0),IFERROR(VLOOKUP($B304,'Privacy Analyst Evaluation'!$A$46:$F$120,2,0),""))&amp;""</f>
        <v/>
      </c>
      <c r="D304" s="209" t="str">
        <f>IFERROR(VLOOKUP($B304,'Institution Evaluation'!$A$55:$F$345,3,0),IFERROR(VLOOKUP($B304,'Privacy Analyst Evaluation'!$A$46:$F$120,3,0),""))&amp;""</f>
        <v/>
      </c>
      <c r="E304" s="209" t="str">
        <f>IFERROR(VLOOKUP($B304,'Institution Evaluation'!$A$55:$F$345,4,0),IFERROR(VLOOKUP($B304,'Privacy Analyst Evaluation'!$A$46:$F$120,4,0),""))&amp;""</f>
        <v/>
      </c>
      <c r="F304" s="209" t="str">
        <f>IFERROR(VLOOKUP($B304,'Institution Evaluation'!$A$55:$F$345,6,0),IFERROR(VLOOKUP($B304,'Privacy Analyst Evaluation'!$A$46:$F$120,6,0),""))&amp;""</f>
        <v/>
      </c>
      <c r="G304" s="210"/>
      <c r="H304" s="209" t="str">
        <f>IFERROR(IF($H303+1&gt;'(backend scoring)'!$Q$335,"",$H303+1),"")</f>
        <v/>
      </c>
      <c r="I304" s="209" t="str">
        <f>_xlfn.XLOOKUP($H304,'(backend scoring)'!$S$2:$S$333,'(backend scoring)'!$A$2:$A$333,"")</f>
        <v/>
      </c>
      <c r="J304" s="209" t="str">
        <f>IFERROR(VLOOKUP($I304,'Institution Evaluation'!$A$55:$F$345,2,0),IFERROR(VLOOKUP($I304,'Privacy Analyst Evaluation'!$A$46:$F$120,2,0),""))</f>
        <v/>
      </c>
      <c r="K304" s="209" t="str">
        <f>IFERROR(VLOOKUP($I304,'Institution Evaluation'!$A$55:$F$345,3,0),IFERROR(VLOOKUP($I304,'Privacy Analyst Evaluation'!$A$46:$F$120,3,0),""))&amp;""</f>
        <v/>
      </c>
      <c r="L304" s="209" t="str">
        <f>IFERROR(VLOOKUP($I304,'Institution Evaluation'!$A$55:$F$345,4,0),IFERROR(VLOOKUP($I304,'Privacy Analyst Evaluation'!$A$46:$F$120,4,0),""))&amp;""</f>
        <v/>
      </c>
      <c r="M304" s="209" t="str">
        <f>IFERROR(VLOOKUP($I304,'Institution Evaluation'!$A$55:$F$345,6,0),IFERROR(VLOOKUP($I304,'Privacy Analyst Evaluation'!$A$46:$F$120,6,0),""))&amp;""</f>
        <v/>
      </c>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row>
    <row r="305" spans="1:338" x14ac:dyDescent="0.3">
      <c r="A305" s="209" t="str">
        <f>IFERROR(IF($A304+1&gt;'(backend scoring)'!$T$335,"",$A304+1),"")</f>
        <v/>
      </c>
      <c r="B305" s="209" t="str">
        <f>_xlfn.XLOOKUP($A305,'(backend scoring)'!$V$2:$V$333,'(backend scoring)'!$A$2:$A$333,"")</f>
        <v/>
      </c>
      <c r="C305" s="209" t="str">
        <f>IFERROR(VLOOKUP($B305,'Institution Evaluation'!$A$55:$F$345,2,0),IFERROR(VLOOKUP($B305,'Privacy Analyst Evaluation'!$A$46:$F$120,2,0),""))&amp;""</f>
        <v/>
      </c>
      <c r="D305" s="209" t="str">
        <f>IFERROR(VLOOKUP($B305,'Institution Evaluation'!$A$55:$F$345,3,0),IFERROR(VLOOKUP($B305,'Privacy Analyst Evaluation'!$A$46:$F$120,3,0),""))&amp;""</f>
        <v/>
      </c>
      <c r="E305" s="209" t="str">
        <f>IFERROR(VLOOKUP($B305,'Institution Evaluation'!$A$55:$F$345,4,0),IFERROR(VLOOKUP($B305,'Privacy Analyst Evaluation'!$A$46:$F$120,4,0),""))&amp;""</f>
        <v/>
      </c>
      <c r="F305" s="209" t="str">
        <f>IFERROR(VLOOKUP($B305,'Institution Evaluation'!$A$55:$F$345,6,0),IFERROR(VLOOKUP($B305,'Privacy Analyst Evaluation'!$A$46:$F$120,6,0),""))&amp;""</f>
        <v/>
      </c>
      <c r="G305" s="210"/>
      <c r="H305" s="209" t="str">
        <f>IFERROR(IF($H304+1&gt;'(backend scoring)'!$Q$335,"",$H304+1),"")</f>
        <v/>
      </c>
      <c r="I305" s="209" t="str">
        <f>_xlfn.XLOOKUP($H305,'(backend scoring)'!$S$2:$S$333,'(backend scoring)'!$A$2:$A$333,"")</f>
        <v/>
      </c>
      <c r="J305" s="209" t="str">
        <f>IFERROR(VLOOKUP($I305,'Institution Evaluation'!$A$55:$F$345,2,0),IFERROR(VLOOKUP($I305,'Privacy Analyst Evaluation'!$A$46:$F$120,2,0),""))</f>
        <v/>
      </c>
      <c r="K305" s="209" t="str">
        <f>IFERROR(VLOOKUP($I305,'Institution Evaluation'!$A$55:$F$345,3,0),IFERROR(VLOOKUP($I305,'Privacy Analyst Evaluation'!$A$46:$F$120,3,0),""))&amp;""</f>
        <v/>
      </c>
      <c r="L305" s="209" t="str">
        <f>IFERROR(VLOOKUP($I305,'Institution Evaluation'!$A$55:$F$345,4,0),IFERROR(VLOOKUP($I305,'Privacy Analyst Evaluation'!$A$46:$F$120,4,0),""))&amp;""</f>
        <v/>
      </c>
      <c r="M305" s="209" t="str">
        <f>IFERROR(VLOOKUP($I305,'Institution Evaluation'!$A$55:$F$345,6,0),IFERROR(VLOOKUP($I305,'Privacy Analyst Evaluation'!$A$46:$F$120,6,0),""))&amp;""</f>
        <v/>
      </c>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row>
    <row r="306" spans="1:338" x14ac:dyDescent="0.3">
      <c r="A306" s="209" t="str">
        <f>IFERROR(IF($A305+1&gt;'(backend scoring)'!$T$335,"",$A305+1),"")</f>
        <v/>
      </c>
      <c r="B306" s="209" t="str">
        <f>_xlfn.XLOOKUP($A306,'(backend scoring)'!$V$2:$V$333,'(backend scoring)'!$A$2:$A$333,"")</f>
        <v/>
      </c>
      <c r="C306" s="209" t="str">
        <f>IFERROR(VLOOKUP($B306,'Institution Evaluation'!$A$55:$F$345,2,0),IFERROR(VLOOKUP($B306,'Privacy Analyst Evaluation'!$A$46:$F$120,2,0),""))&amp;""</f>
        <v/>
      </c>
      <c r="D306" s="209" t="str">
        <f>IFERROR(VLOOKUP($B306,'Institution Evaluation'!$A$55:$F$345,3,0),IFERROR(VLOOKUP($B306,'Privacy Analyst Evaluation'!$A$46:$F$120,3,0),""))&amp;""</f>
        <v/>
      </c>
      <c r="E306" s="209" t="str">
        <f>IFERROR(VLOOKUP($B306,'Institution Evaluation'!$A$55:$F$345,4,0),IFERROR(VLOOKUP($B306,'Privacy Analyst Evaluation'!$A$46:$F$120,4,0),""))&amp;""</f>
        <v/>
      </c>
      <c r="F306" s="209" t="str">
        <f>IFERROR(VLOOKUP($B306,'Institution Evaluation'!$A$55:$F$345,6,0),IFERROR(VLOOKUP($B306,'Privacy Analyst Evaluation'!$A$46:$F$120,6,0),""))&amp;""</f>
        <v/>
      </c>
      <c r="G306" s="210"/>
      <c r="H306" s="209" t="str">
        <f>IFERROR(IF($H305+1&gt;'(backend scoring)'!$Q$335,"",$H305+1),"")</f>
        <v/>
      </c>
      <c r="I306" s="209" t="str">
        <f>_xlfn.XLOOKUP($H306,'(backend scoring)'!$S$2:$S$333,'(backend scoring)'!$A$2:$A$333,"")</f>
        <v/>
      </c>
      <c r="J306" s="209" t="str">
        <f>IFERROR(VLOOKUP($I306,'Institution Evaluation'!$A$55:$F$345,2,0),IFERROR(VLOOKUP($I306,'Privacy Analyst Evaluation'!$A$46:$F$120,2,0),""))</f>
        <v/>
      </c>
      <c r="K306" s="209" t="str">
        <f>IFERROR(VLOOKUP($I306,'Institution Evaluation'!$A$55:$F$345,3,0),IFERROR(VLOOKUP($I306,'Privacy Analyst Evaluation'!$A$46:$F$120,3,0),""))&amp;""</f>
        <v/>
      </c>
      <c r="L306" s="209" t="str">
        <f>IFERROR(VLOOKUP($I306,'Institution Evaluation'!$A$55:$F$345,4,0),IFERROR(VLOOKUP($I306,'Privacy Analyst Evaluation'!$A$46:$F$120,4,0),""))&amp;""</f>
        <v/>
      </c>
      <c r="M306" s="209" t="str">
        <f>IFERROR(VLOOKUP($I306,'Institution Evaluation'!$A$55:$F$345,6,0),IFERROR(VLOOKUP($I306,'Privacy Analyst Evaluation'!$A$46:$F$120,6,0),""))&amp;""</f>
        <v/>
      </c>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row>
    <row r="307" spans="1:338" x14ac:dyDescent="0.3">
      <c r="A307" s="209" t="str">
        <f>IFERROR(IF($A306+1&gt;'(backend scoring)'!$T$335,"",$A306+1),"")</f>
        <v/>
      </c>
      <c r="B307" s="209" t="str">
        <f>_xlfn.XLOOKUP($A307,'(backend scoring)'!$V$2:$V$333,'(backend scoring)'!$A$2:$A$333,"")</f>
        <v/>
      </c>
      <c r="C307" s="209" t="str">
        <f>IFERROR(VLOOKUP($B307,'Institution Evaluation'!$A$55:$F$345,2,0),IFERROR(VLOOKUP($B307,'Privacy Analyst Evaluation'!$A$46:$F$120,2,0),""))&amp;""</f>
        <v/>
      </c>
      <c r="D307" s="209" t="str">
        <f>IFERROR(VLOOKUP($B307,'Institution Evaluation'!$A$55:$F$345,3,0),IFERROR(VLOOKUP($B307,'Privacy Analyst Evaluation'!$A$46:$F$120,3,0),""))&amp;""</f>
        <v/>
      </c>
      <c r="E307" s="209" t="str">
        <f>IFERROR(VLOOKUP($B307,'Institution Evaluation'!$A$55:$F$345,4,0),IFERROR(VLOOKUP($B307,'Privacy Analyst Evaluation'!$A$46:$F$120,4,0),""))&amp;""</f>
        <v/>
      </c>
      <c r="F307" s="209" t="str">
        <f>IFERROR(VLOOKUP($B307,'Institution Evaluation'!$A$55:$F$345,6,0),IFERROR(VLOOKUP($B307,'Privacy Analyst Evaluation'!$A$46:$F$120,6,0),""))&amp;""</f>
        <v/>
      </c>
      <c r="G307" s="210"/>
      <c r="H307" s="209" t="str">
        <f>IFERROR(IF($H306+1&gt;'(backend scoring)'!$Q$335,"",$H306+1),"")</f>
        <v/>
      </c>
      <c r="I307" s="209" t="str">
        <f>_xlfn.XLOOKUP($H307,'(backend scoring)'!$S$2:$S$333,'(backend scoring)'!$A$2:$A$333,"")</f>
        <v/>
      </c>
      <c r="J307" s="209" t="str">
        <f>IFERROR(VLOOKUP($I307,'Institution Evaluation'!$A$55:$F$345,2,0),IFERROR(VLOOKUP($I307,'Privacy Analyst Evaluation'!$A$46:$F$120,2,0),""))</f>
        <v/>
      </c>
      <c r="K307" s="209" t="str">
        <f>IFERROR(VLOOKUP($I307,'Institution Evaluation'!$A$55:$F$345,3,0),IFERROR(VLOOKUP($I307,'Privacy Analyst Evaluation'!$A$46:$F$120,3,0),""))&amp;""</f>
        <v/>
      </c>
      <c r="L307" s="209" t="str">
        <f>IFERROR(VLOOKUP($I307,'Institution Evaluation'!$A$55:$F$345,4,0),IFERROR(VLOOKUP($I307,'Privacy Analyst Evaluation'!$A$46:$F$120,4,0),""))&amp;""</f>
        <v/>
      </c>
      <c r="M307" s="209" t="str">
        <f>IFERROR(VLOOKUP($I307,'Institution Evaluation'!$A$55:$F$345,6,0),IFERROR(VLOOKUP($I307,'Privacy Analyst Evaluation'!$A$46:$F$120,6,0),""))&amp;""</f>
        <v/>
      </c>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row>
    <row r="308" spans="1:338" x14ac:dyDescent="0.3">
      <c r="A308" s="209" t="str">
        <f>IFERROR(IF($A307+1&gt;'(backend scoring)'!$T$335,"",$A307+1),"")</f>
        <v/>
      </c>
      <c r="B308" s="209" t="str">
        <f>_xlfn.XLOOKUP($A308,'(backend scoring)'!$V$2:$V$333,'(backend scoring)'!$A$2:$A$333,"")</f>
        <v/>
      </c>
      <c r="C308" s="209" t="str">
        <f>IFERROR(VLOOKUP($B308,'Institution Evaluation'!$A$55:$F$345,2,0),IFERROR(VLOOKUP($B308,'Privacy Analyst Evaluation'!$A$46:$F$120,2,0),""))&amp;""</f>
        <v/>
      </c>
      <c r="D308" s="209" t="str">
        <f>IFERROR(VLOOKUP($B308,'Institution Evaluation'!$A$55:$F$345,3,0),IFERROR(VLOOKUP($B308,'Privacy Analyst Evaluation'!$A$46:$F$120,3,0),""))&amp;""</f>
        <v/>
      </c>
      <c r="E308" s="209" t="str">
        <f>IFERROR(VLOOKUP($B308,'Institution Evaluation'!$A$55:$F$345,4,0),IFERROR(VLOOKUP($B308,'Privacy Analyst Evaluation'!$A$46:$F$120,4,0),""))&amp;""</f>
        <v/>
      </c>
      <c r="F308" s="209" t="str">
        <f>IFERROR(VLOOKUP($B308,'Institution Evaluation'!$A$55:$F$345,6,0),IFERROR(VLOOKUP($B308,'Privacy Analyst Evaluation'!$A$46:$F$120,6,0),""))&amp;""</f>
        <v/>
      </c>
      <c r="G308" s="210"/>
      <c r="H308" s="209" t="str">
        <f>IFERROR(IF($H307+1&gt;'(backend scoring)'!$Q$335,"",$H307+1),"")</f>
        <v/>
      </c>
      <c r="I308" s="209" t="str">
        <f>_xlfn.XLOOKUP($H308,'(backend scoring)'!$S$2:$S$333,'(backend scoring)'!$A$2:$A$333,"")</f>
        <v/>
      </c>
      <c r="J308" s="209" t="str">
        <f>IFERROR(VLOOKUP($I308,'Institution Evaluation'!$A$55:$F$345,2,0),IFERROR(VLOOKUP($I308,'Privacy Analyst Evaluation'!$A$46:$F$120,2,0),""))</f>
        <v/>
      </c>
      <c r="K308" s="209" t="str">
        <f>IFERROR(VLOOKUP($I308,'Institution Evaluation'!$A$55:$F$345,3,0),IFERROR(VLOOKUP($I308,'Privacy Analyst Evaluation'!$A$46:$F$120,3,0),""))&amp;""</f>
        <v/>
      </c>
      <c r="L308" s="209" t="str">
        <f>IFERROR(VLOOKUP($I308,'Institution Evaluation'!$A$55:$F$345,4,0),IFERROR(VLOOKUP($I308,'Privacy Analyst Evaluation'!$A$46:$F$120,4,0),""))&amp;""</f>
        <v/>
      </c>
      <c r="M308" s="209" t="str">
        <f>IFERROR(VLOOKUP($I308,'Institution Evaluation'!$A$55:$F$345,6,0),IFERROR(VLOOKUP($I308,'Privacy Analyst Evaluation'!$A$46:$F$120,6,0),""))&amp;""</f>
        <v/>
      </c>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row>
    <row r="309" spans="1:338" x14ac:dyDescent="0.3">
      <c r="A309" s="209" t="str">
        <f>IFERROR(IF($A308+1&gt;'(backend scoring)'!$T$335,"",$A308+1),"")</f>
        <v/>
      </c>
      <c r="B309" s="209" t="str">
        <f>_xlfn.XLOOKUP($A309,'(backend scoring)'!$V$2:$V$333,'(backend scoring)'!$A$2:$A$333,"")</f>
        <v/>
      </c>
      <c r="C309" s="209" t="str">
        <f>IFERROR(VLOOKUP($B309,'Institution Evaluation'!$A$55:$F$345,2,0),IFERROR(VLOOKUP($B309,'Privacy Analyst Evaluation'!$A$46:$F$120,2,0),""))&amp;""</f>
        <v/>
      </c>
      <c r="D309" s="209" t="str">
        <f>IFERROR(VLOOKUP($B309,'Institution Evaluation'!$A$55:$F$345,3,0),IFERROR(VLOOKUP($B309,'Privacy Analyst Evaluation'!$A$46:$F$120,3,0),""))&amp;""</f>
        <v/>
      </c>
      <c r="E309" s="209" t="str">
        <f>IFERROR(VLOOKUP($B309,'Institution Evaluation'!$A$55:$F$345,4,0),IFERROR(VLOOKUP($B309,'Privacy Analyst Evaluation'!$A$46:$F$120,4,0),""))&amp;""</f>
        <v/>
      </c>
      <c r="F309" s="209" t="str">
        <f>IFERROR(VLOOKUP($B309,'Institution Evaluation'!$A$55:$F$345,6,0),IFERROR(VLOOKUP($B309,'Privacy Analyst Evaluation'!$A$46:$F$120,6,0),""))&amp;""</f>
        <v/>
      </c>
      <c r="G309" s="210"/>
      <c r="H309" s="209" t="str">
        <f>IFERROR(IF($H308+1&gt;'(backend scoring)'!$Q$335,"",$H308+1),"")</f>
        <v/>
      </c>
      <c r="I309" s="209" t="str">
        <f>_xlfn.XLOOKUP($H309,'(backend scoring)'!$S$2:$S$333,'(backend scoring)'!$A$2:$A$333,"")</f>
        <v/>
      </c>
      <c r="J309" s="209" t="str">
        <f>IFERROR(VLOOKUP($I309,'Institution Evaluation'!$A$55:$F$345,2,0),IFERROR(VLOOKUP($I309,'Privacy Analyst Evaluation'!$A$46:$F$120,2,0),""))</f>
        <v/>
      </c>
      <c r="K309" s="209" t="str">
        <f>IFERROR(VLOOKUP($I309,'Institution Evaluation'!$A$55:$F$345,3,0),IFERROR(VLOOKUP($I309,'Privacy Analyst Evaluation'!$A$46:$F$120,3,0),""))&amp;""</f>
        <v/>
      </c>
      <c r="L309" s="209" t="str">
        <f>IFERROR(VLOOKUP($I309,'Institution Evaluation'!$A$55:$F$345,4,0),IFERROR(VLOOKUP($I309,'Privacy Analyst Evaluation'!$A$46:$F$120,4,0),""))&amp;""</f>
        <v/>
      </c>
      <c r="M309" s="209" t="str">
        <f>IFERROR(VLOOKUP($I309,'Institution Evaluation'!$A$55:$F$345,6,0),IFERROR(VLOOKUP($I309,'Privacy Analyst Evaluation'!$A$46:$F$120,6,0),""))&amp;""</f>
        <v/>
      </c>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row>
    <row r="310" spans="1:338" x14ac:dyDescent="0.3">
      <c r="A310" s="209" t="str">
        <f>IFERROR(IF($A309+1&gt;'(backend scoring)'!$T$335,"",$A309+1),"")</f>
        <v/>
      </c>
      <c r="B310" s="209" t="str">
        <f>_xlfn.XLOOKUP($A310,'(backend scoring)'!$V$2:$V$333,'(backend scoring)'!$A$2:$A$333,"")</f>
        <v/>
      </c>
      <c r="C310" s="209" t="str">
        <f>IFERROR(VLOOKUP($B310,'Institution Evaluation'!$A$55:$F$345,2,0),IFERROR(VLOOKUP($B310,'Privacy Analyst Evaluation'!$A$46:$F$120,2,0),""))&amp;""</f>
        <v/>
      </c>
      <c r="D310" s="209" t="str">
        <f>IFERROR(VLOOKUP($B310,'Institution Evaluation'!$A$55:$F$345,3,0),IFERROR(VLOOKUP($B310,'Privacy Analyst Evaluation'!$A$46:$F$120,3,0),""))&amp;""</f>
        <v/>
      </c>
      <c r="E310" s="209" t="str">
        <f>IFERROR(VLOOKUP($B310,'Institution Evaluation'!$A$55:$F$345,4,0),IFERROR(VLOOKUP($B310,'Privacy Analyst Evaluation'!$A$46:$F$120,4,0),""))&amp;""</f>
        <v/>
      </c>
      <c r="F310" s="209" t="str">
        <f>IFERROR(VLOOKUP($B310,'Institution Evaluation'!$A$55:$F$345,6,0),IFERROR(VLOOKUP($B310,'Privacy Analyst Evaluation'!$A$46:$F$120,6,0),""))&amp;""</f>
        <v/>
      </c>
      <c r="G310" s="210"/>
      <c r="H310" s="209" t="str">
        <f>IFERROR(IF($H309+1&gt;'(backend scoring)'!$Q$335,"",$H309+1),"")</f>
        <v/>
      </c>
      <c r="I310" s="209" t="str">
        <f>_xlfn.XLOOKUP($H310,'(backend scoring)'!$S$2:$S$333,'(backend scoring)'!$A$2:$A$333,"")</f>
        <v/>
      </c>
      <c r="J310" s="209" t="str">
        <f>IFERROR(VLOOKUP($I310,'Institution Evaluation'!$A$55:$F$345,2,0),IFERROR(VLOOKUP($I310,'Privacy Analyst Evaluation'!$A$46:$F$120,2,0),""))</f>
        <v/>
      </c>
      <c r="K310" s="209" t="str">
        <f>IFERROR(VLOOKUP($I310,'Institution Evaluation'!$A$55:$F$345,3,0),IFERROR(VLOOKUP($I310,'Privacy Analyst Evaluation'!$A$46:$F$120,3,0),""))&amp;""</f>
        <v/>
      </c>
      <c r="L310" s="209" t="str">
        <f>IFERROR(VLOOKUP($I310,'Institution Evaluation'!$A$55:$F$345,4,0),IFERROR(VLOOKUP($I310,'Privacy Analyst Evaluation'!$A$46:$F$120,4,0),""))&amp;""</f>
        <v/>
      </c>
      <c r="M310" s="209" t="str">
        <f>IFERROR(VLOOKUP($I310,'Institution Evaluation'!$A$55:$F$345,6,0),IFERROR(VLOOKUP($I310,'Privacy Analyst Evaluation'!$A$46:$F$120,6,0),""))&amp;""</f>
        <v/>
      </c>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row>
    <row r="311" spans="1:338" x14ac:dyDescent="0.3">
      <c r="A311" s="209" t="str">
        <f>IFERROR(IF($A310+1&gt;'(backend scoring)'!$T$335,"",$A310+1),"")</f>
        <v/>
      </c>
      <c r="B311" s="209" t="str">
        <f>_xlfn.XLOOKUP($A311,'(backend scoring)'!$V$2:$V$333,'(backend scoring)'!$A$2:$A$333,"")</f>
        <v/>
      </c>
      <c r="C311" s="209" t="str">
        <f>IFERROR(VLOOKUP($B311,'Institution Evaluation'!$A$55:$F$345,2,0),IFERROR(VLOOKUP($B311,'Privacy Analyst Evaluation'!$A$46:$F$120,2,0),""))&amp;""</f>
        <v/>
      </c>
      <c r="D311" s="209" t="str">
        <f>IFERROR(VLOOKUP($B311,'Institution Evaluation'!$A$55:$F$345,3,0),IFERROR(VLOOKUP($B311,'Privacy Analyst Evaluation'!$A$46:$F$120,3,0),""))&amp;""</f>
        <v/>
      </c>
      <c r="E311" s="209" t="str">
        <f>IFERROR(VLOOKUP($B311,'Institution Evaluation'!$A$55:$F$345,4,0),IFERROR(VLOOKUP($B311,'Privacy Analyst Evaluation'!$A$46:$F$120,4,0),""))&amp;""</f>
        <v/>
      </c>
      <c r="F311" s="209" t="str">
        <f>IFERROR(VLOOKUP($B311,'Institution Evaluation'!$A$55:$F$345,6,0),IFERROR(VLOOKUP($B311,'Privacy Analyst Evaluation'!$A$46:$F$120,6,0),""))&amp;""</f>
        <v/>
      </c>
      <c r="G311" s="210"/>
      <c r="H311" s="209" t="str">
        <f>IFERROR(IF($H310+1&gt;'(backend scoring)'!$Q$335,"",$H310+1),"")</f>
        <v/>
      </c>
      <c r="I311" s="209" t="str">
        <f>_xlfn.XLOOKUP($H311,'(backend scoring)'!$S$2:$S$333,'(backend scoring)'!$A$2:$A$333,"")</f>
        <v/>
      </c>
      <c r="J311" s="209" t="str">
        <f>IFERROR(VLOOKUP($I311,'Institution Evaluation'!$A$55:$F$345,2,0),IFERROR(VLOOKUP($I311,'Privacy Analyst Evaluation'!$A$46:$F$120,2,0),""))</f>
        <v/>
      </c>
      <c r="K311" s="209" t="str">
        <f>IFERROR(VLOOKUP($I311,'Institution Evaluation'!$A$55:$F$345,3,0),IFERROR(VLOOKUP($I311,'Privacy Analyst Evaluation'!$A$46:$F$120,3,0),""))&amp;""</f>
        <v/>
      </c>
      <c r="L311" s="209" t="str">
        <f>IFERROR(VLOOKUP($I311,'Institution Evaluation'!$A$55:$F$345,4,0),IFERROR(VLOOKUP($I311,'Privacy Analyst Evaluation'!$A$46:$F$120,4,0),""))&amp;""</f>
        <v/>
      </c>
      <c r="M311" s="209" t="str">
        <f>IFERROR(VLOOKUP($I311,'Institution Evaluation'!$A$55:$F$345,6,0),IFERROR(VLOOKUP($I311,'Privacy Analyst Evaluation'!$A$46:$F$120,6,0),""))&amp;""</f>
        <v/>
      </c>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row>
    <row r="312" spans="1:338" x14ac:dyDescent="0.3">
      <c r="A312" s="209" t="str">
        <f>IFERROR(IF($A311+1&gt;'(backend scoring)'!$T$335,"",$A311+1),"")</f>
        <v/>
      </c>
      <c r="B312" s="209" t="str">
        <f>_xlfn.XLOOKUP($A312,'(backend scoring)'!$V$2:$V$333,'(backend scoring)'!$A$2:$A$333,"")</f>
        <v/>
      </c>
      <c r="C312" s="209" t="str">
        <f>IFERROR(VLOOKUP($B312,'Institution Evaluation'!$A$55:$F$345,2,0),IFERROR(VLOOKUP($B312,'Privacy Analyst Evaluation'!$A$46:$F$120,2,0),""))&amp;""</f>
        <v/>
      </c>
      <c r="D312" s="209" t="str">
        <f>IFERROR(VLOOKUP($B312,'Institution Evaluation'!$A$55:$F$345,3,0),IFERROR(VLOOKUP($B312,'Privacy Analyst Evaluation'!$A$46:$F$120,3,0),""))&amp;""</f>
        <v/>
      </c>
      <c r="E312" s="209" t="str">
        <f>IFERROR(VLOOKUP($B312,'Institution Evaluation'!$A$55:$F$345,4,0),IFERROR(VLOOKUP($B312,'Privacy Analyst Evaluation'!$A$46:$F$120,4,0),""))&amp;""</f>
        <v/>
      </c>
      <c r="F312" s="209" t="str">
        <f>IFERROR(VLOOKUP($B312,'Institution Evaluation'!$A$55:$F$345,6,0),IFERROR(VLOOKUP($B312,'Privacy Analyst Evaluation'!$A$46:$F$120,6,0),""))&amp;""</f>
        <v/>
      </c>
      <c r="G312" s="210"/>
      <c r="H312" s="209" t="str">
        <f>IFERROR(IF($H311+1&gt;'(backend scoring)'!$Q$335,"",$H311+1),"")</f>
        <v/>
      </c>
      <c r="I312" s="209" t="str">
        <f>_xlfn.XLOOKUP($H312,'(backend scoring)'!$S$2:$S$333,'(backend scoring)'!$A$2:$A$333,"")</f>
        <v/>
      </c>
      <c r="J312" s="209" t="str">
        <f>IFERROR(VLOOKUP($I312,'Institution Evaluation'!$A$55:$F$345,2,0),IFERROR(VLOOKUP($I312,'Privacy Analyst Evaluation'!$A$46:$F$120,2,0),""))</f>
        <v/>
      </c>
      <c r="K312" s="209" t="str">
        <f>IFERROR(VLOOKUP($I312,'Institution Evaluation'!$A$55:$F$345,3,0),IFERROR(VLOOKUP($I312,'Privacy Analyst Evaluation'!$A$46:$F$120,3,0),""))&amp;""</f>
        <v/>
      </c>
      <c r="L312" s="209" t="str">
        <f>IFERROR(VLOOKUP($I312,'Institution Evaluation'!$A$55:$F$345,4,0),IFERROR(VLOOKUP($I312,'Privacy Analyst Evaluation'!$A$46:$F$120,4,0),""))&amp;""</f>
        <v/>
      </c>
      <c r="M312" s="209" t="str">
        <f>IFERROR(VLOOKUP($I312,'Institution Evaluation'!$A$55:$F$345,6,0),IFERROR(VLOOKUP($I312,'Privacy Analyst Evaluation'!$A$46:$F$120,6,0),""))&amp;""</f>
        <v/>
      </c>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row>
    <row r="313" spans="1:338" x14ac:dyDescent="0.3">
      <c r="A313" s="209" t="str">
        <f>IFERROR(IF($A312+1&gt;'(backend scoring)'!$T$335,"",$A312+1),"")</f>
        <v/>
      </c>
      <c r="B313" s="209" t="str">
        <f>_xlfn.XLOOKUP($A313,'(backend scoring)'!$V$2:$V$333,'(backend scoring)'!$A$2:$A$333,"")</f>
        <v/>
      </c>
      <c r="C313" s="209" t="str">
        <f>IFERROR(VLOOKUP($B313,'Institution Evaluation'!$A$55:$F$345,2,0),IFERROR(VLOOKUP($B313,'Privacy Analyst Evaluation'!$A$46:$F$120,2,0),""))&amp;""</f>
        <v/>
      </c>
      <c r="D313" s="209" t="str">
        <f>IFERROR(VLOOKUP($B313,'Institution Evaluation'!$A$55:$F$345,3,0),IFERROR(VLOOKUP($B313,'Privacy Analyst Evaluation'!$A$46:$F$120,3,0),""))&amp;""</f>
        <v/>
      </c>
      <c r="E313" s="209" t="str">
        <f>IFERROR(VLOOKUP($B313,'Institution Evaluation'!$A$55:$F$345,4,0),IFERROR(VLOOKUP($B313,'Privacy Analyst Evaluation'!$A$46:$F$120,4,0),""))&amp;""</f>
        <v/>
      </c>
      <c r="F313" s="209" t="str">
        <f>IFERROR(VLOOKUP($B313,'Institution Evaluation'!$A$55:$F$345,6,0),IFERROR(VLOOKUP($B313,'Privacy Analyst Evaluation'!$A$46:$F$120,6,0),""))&amp;""</f>
        <v/>
      </c>
      <c r="G313" s="210"/>
      <c r="H313" s="209" t="str">
        <f>IFERROR(IF($H312+1&gt;'(backend scoring)'!$Q$335,"",$H312+1),"")</f>
        <v/>
      </c>
      <c r="I313" s="209" t="str">
        <f>_xlfn.XLOOKUP($H313,'(backend scoring)'!$S$2:$S$333,'(backend scoring)'!$A$2:$A$333,"")</f>
        <v/>
      </c>
      <c r="J313" s="209" t="str">
        <f>IFERROR(VLOOKUP($I313,'Institution Evaluation'!$A$55:$F$345,2,0),IFERROR(VLOOKUP($I313,'Privacy Analyst Evaluation'!$A$46:$F$120,2,0),""))</f>
        <v/>
      </c>
      <c r="K313" s="209" t="str">
        <f>IFERROR(VLOOKUP($I313,'Institution Evaluation'!$A$55:$F$345,3,0),IFERROR(VLOOKUP($I313,'Privacy Analyst Evaluation'!$A$46:$F$120,3,0),""))&amp;""</f>
        <v/>
      </c>
      <c r="L313" s="209" t="str">
        <f>IFERROR(VLOOKUP($I313,'Institution Evaluation'!$A$55:$F$345,4,0),IFERROR(VLOOKUP($I313,'Privacy Analyst Evaluation'!$A$46:$F$120,4,0),""))&amp;""</f>
        <v/>
      </c>
      <c r="M313" s="209" t="str">
        <f>IFERROR(VLOOKUP($I313,'Institution Evaluation'!$A$55:$F$345,6,0),IFERROR(VLOOKUP($I313,'Privacy Analyst Evaluation'!$A$46:$F$120,6,0),""))&amp;""</f>
        <v/>
      </c>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row>
    <row r="314" spans="1:338" x14ac:dyDescent="0.3">
      <c r="A314" s="209" t="str">
        <f>IFERROR(IF($A313+1&gt;'(backend scoring)'!$T$335,"",$A313+1),"")</f>
        <v/>
      </c>
      <c r="B314" s="209" t="str">
        <f>_xlfn.XLOOKUP($A314,'(backend scoring)'!$V$2:$V$333,'(backend scoring)'!$A$2:$A$333,"")</f>
        <v/>
      </c>
      <c r="C314" s="209" t="str">
        <f>IFERROR(VLOOKUP($B314,'Institution Evaluation'!$A$55:$F$345,2,0),IFERROR(VLOOKUP($B314,'Privacy Analyst Evaluation'!$A$46:$F$120,2,0),""))&amp;""</f>
        <v/>
      </c>
      <c r="D314" s="209" t="str">
        <f>IFERROR(VLOOKUP($B314,'Institution Evaluation'!$A$55:$F$345,3,0),IFERROR(VLOOKUP($B314,'Privacy Analyst Evaluation'!$A$46:$F$120,3,0),""))&amp;""</f>
        <v/>
      </c>
      <c r="E314" s="209" t="str">
        <f>IFERROR(VLOOKUP($B314,'Institution Evaluation'!$A$55:$F$345,4,0),IFERROR(VLOOKUP($B314,'Privacy Analyst Evaluation'!$A$46:$F$120,4,0),""))&amp;""</f>
        <v/>
      </c>
      <c r="F314" s="209" t="str">
        <f>IFERROR(VLOOKUP($B314,'Institution Evaluation'!$A$55:$F$345,6,0),IFERROR(VLOOKUP($B314,'Privacy Analyst Evaluation'!$A$46:$F$120,6,0),""))&amp;""</f>
        <v/>
      </c>
      <c r="G314" s="210"/>
      <c r="H314" s="209" t="str">
        <f>IFERROR(IF($H313+1&gt;'(backend scoring)'!$Q$335,"",$H313+1),"")</f>
        <v/>
      </c>
      <c r="I314" s="209" t="str">
        <f>_xlfn.XLOOKUP($H314,'(backend scoring)'!$S$2:$S$333,'(backend scoring)'!$A$2:$A$333,"")</f>
        <v/>
      </c>
      <c r="J314" s="209" t="str">
        <f>IFERROR(VLOOKUP($I314,'Institution Evaluation'!$A$55:$F$345,2,0),IFERROR(VLOOKUP($I314,'Privacy Analyst Evaluation'!$A$46:$F$120,2,0),""))</f>
        <v/>
      </c>
      <c r="K314" s="209" t="str">
        <f>IFERROR(VLOOKUP($I314,'Institution Evaluation'!$A$55:$F$345,3,0),IFERROR(VLOOKUP($I314,'Privacy Analyst Evaluation'!$A$46:$F$120,3,0),""))&amp;""</f>
        <v/>
      </c>
      <c r="L314" s="209" t="str">
        <f>IFERROR(VLOOKUP($I314,'Institution Evaluation'!$A$55:$F$345,4,0),IFERROR(VLOOKUP($I314,'Privacy Analyst Evaluation'!$A$46:$F$120,4,0),""))&amp;""</f>
        <v/>
      </c>
      <c r="M314" s="209" t="str">
        <f>IFERROR(VLOOKUP($I314,'Institution Evaluation'!$A$55:$F$345,6,0),IFERROR(VLOOKUP($I314,'Privacy Analyst Evaluation'!$A$46:$F$120,6,0),""))&amp;""</f>
        <v/>
      </c>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row>
    <row r="315" spans="1:338" x14ac:dyDescent="0.3">
      <c r="A315" s="209" t="str">
        <f>IFERROR(IF($A314+1&gt;'(backend scoring)'!$T$335,"",$A314+1),"")</f>
        <v/>
      </c>
      <c r="B315" s="209" t="str">
        <f>_xlfn.XLOOKUP($A315,'(backend scoring)'!$V$2:$V$333,'(backend scoring)'!$A$2:$A$333,"")</f>
        <v/>
      </c>
      <c r="C315" s="209" t="str">
        <f>IFERROR(VLOOKUP($B315,'Institution Evaluation'!$A$55:$F$345,2,0),IFERROR(VLOOKUP($B315,'Privacy Analyst Evaluation'!$A$46:$F$120,2,0),""))&amp;""</f>
        <v/>
      </c>
      <c r="D315" s="209" t="str">
        <f>IFERROR(VLOOKUP($B315,'Institution Evaluation'!$A$55:$F$345,3,0),IFERROR(VLOOKUP($B315,'Privacy Analyst Evaluation'!$A$46:$F$120,3,0),""))&amp;""</f>
        <v/>
      </c>
      <c r="E315" s="209" t="str">
        <f>IFERROR(VLOOKUP($B315,'Institution Evaluation'!$A$55:$F$345,4,0),IFERROR(VLOOKUP($B315,'Privacy Analyst Evaluation'!$A$46:$F$120,4,0),""))&amp;""</f>
        <v/>
      </c>
      <c r="F315" s="209" t="str">
        <f>IFERROR(VLOOKUP($B315,'Institution Evaluation'!$A$55:$F$345,6,0),IFERROR(VLOOKUP($B315,'Privacy Analyst Evaluation'!$A$46:$F$120,6,0),""))&amp;""</f>
        <v/>
      </c>
      <c r="G315" s="210"/>
      <c r="H315" s="209" t="str">
        <f>IFERROR(IF($H314+1&gt;'(backend scoring)'!$Q$335,"",$H314+1),"")</f>
        <v/>
      </c>
      <c r="I315" s="209" t="str">
        <f>_xlfn.XLOOKUP($H315,'(backend scoring)'!$S$2:$S$333,'(backend scoring)'!$A$2:$A$333,"")</f>
        <v/>
      </c>
      <c r="J315" s="209" t="str">
        <f>IFERROR(VLOOKUP($I315,'Institution Evaluation'!$A$55:$F$345,2,0),IFERROR(VLOOKUP($I315,'Privacy Analyst Evaluation'!$A$46:$F$120,2,0),""))</f>
        <v/>
      </c>
      <c r="K315" s="209" t="str">
        <f>IFERROR(VLOOKUP($I315,'Institution Evaluation'!$A$55:$F$345,3,0),IFERROR(VLOOKUP($I315,'Privacy Analyst Evaluation'!$A$46:$F$120,3,0),""))&amp;""</f>
        <v/>
      </c>
      <c r="L315" s="209" t="str">
        <f>IFERROR(VLOOKUP($I315,'Institution Evaluation'!$A$55:$F$345,4,0),IFERROR(VLOOKUP($I315,'Privacy Analyst Evaluation'!$A$46:$F$120,4,0),""))&amp;""</f>
        <v/>
      </c>
      <c r="M315" s="209" t="str">
        <f>IFERROR(VLOOKUP($I315,'Institution Evaluation'!$A$55:$F$345,6,0),IFERROR(VLOOKUP($I315,'Privacy Analyst Evaluation'!$A$46:$F$120,6,0),""))&amp;""</f>
        <v/>
      </c>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row>
    <row r="316" spans="1:338" x14ac:dyDescent="0.3">
      <c r="A316" s="209" t="str">
        <f>IFERROR(IF($A315+1&gt;'(backend scoring)'!$T$335,"",$A315+1),"")</f>
        <v/>
      </c>
      <c r="B316" s="209" t="str">
        <f>_xlfn.XLOOKUP($A316,'(backend scoring)'!$V$2:$V$333,'(backend scoring)'!$A$2:$A$333,"")</f>
        <v/>
      </c>
      <c r="C316" s="209" t="str">
        <f>IFERROR(VLOOKUP($B316,'Institution Evaluation'!$A$55:$F$345,2,0),IFERROR(VLOOKUP($B316,'Privacy Analyst Evaluation'!$A$46:$F$120,2,0),""))&amp;""</f>
        <v/>
      </c>
      <c r="D316" s="209" t="str">
        <f>IFERROR(VLOOKUP($B316,'Institution Evaluation'!$A$55:$F$345,3,0),IFERROR(VLOOKUP($B316,'Privacy Analyst Evaluation'!$A$46:$F$120,3,0),""))&amp;""</f>
        <v/>
      </c>
      <c r="E316" s="209" t="str">
        <f>IFERROR(VLOOKUP($B316,'Institution Evaluation'!$A$55:$F$345,4,0),IFERROR(VLOOKUP($B316,'Privacy Analyst Evaluation'!$A$46:$F$120,4,0),""))&amp;""</f>
        <v/>
      </c>
      <c r="F316" s="209" t="str">
        <f>IFERROR(VLOOKUP($B316,'Institution Evaluation'!$A$55:$F$345,6,0),IFERROR(VLOOKUP($B316,'Privacy Analyst Evaluation'!$A$46:$F$120,6,0),""))&amp;""</f>
        <v/>
      </c>
      <c r="G316" s="210"/>
      <c r="H316" s="209" t="str">
        <f>IFERROR(IF($H315+1&gt;'(backend scoring)'!$Q$335,"",$H315+1),"")</f>
        <v/>
      </c>
      <c r="I316" s="209" t="str">
        <f>_xlfn.XLOOKUP($H316,'(backend scoring)'!$S$2:$S$333,'(backend scoring)'!$A$2:$A$333,"")</f>
        <v/>
      </c>
      <c r="J316" s="209" t="str">
        <f>IFERROR(VLOOKUP($I316,'Institution Evaluation'!$A$55:$F$345,2,0),IFERROR(VLOOKUP($I316,'Privacy Analyst Evaluation'!$A$46:$F$120,2,0),""))</f>
        <v/>
      </c>
      <c r="K316" s="209" t="str">
        <f>IFERROR(VLOOKUP($I316,'Institution Evaluation'!$A$55:$F$345,3,0),IFERROR(VLOOKUP($I316,'Privacy Analyst Evaluation'!$A$46:$F$120,3,0),""))&amp;""</f>
        <v/>
      </c>
      <c r="L316" s="209" t="str">
        <f>IFERROR(VLOOKUP($I316,'Institution Evaluation'!$A$55:$F$345,4,0),IFERROR(VLOOKUP($I316,'Privacy Analyst Evaluation'!$A$46:$F$120,4,0),""))&amp;""</f>
        <v/>
      </c>
      <c r="M316" s="209" t="str">
        <f>IFERROR(VLOOKUP($I316,'Institution Evaluation'!$A$55:$F$345,6,0),IFERROR(VLOOKUP($I316,'Privacy Analyst Evaluation'!$A$46:$F$120,6,0),""))&amp;""</f>
        <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row>
    <row r="317" spans="1:338" x14ac:dyDescent="0.3">
      <c r="A317" s="209" t="str">
        <f>IFERROR(IF($A316+1&gt;'(backend scoring)'!$T$335,"",$A316+1),"")</f>
        <v/>
      </c>
      <c r="B317" s="209" t="str">
        <f>_xlfn.XLOOKUP($A317,'(backend scoring)'!$V$2:$V$333,'(backend scoring)'!$A$2:$A$333,"")</f>
        <v/>
      </c>
      <c r="C317" s="209" t="str">
        <f>IFERROR(VLOOKUP($B317,'Institution Evaluation'!$A$55:$F$345,2,0),IFERROR(VLOOKUP($B317,'Privacy Analyst Evaluation'!$A$46:$F$120,2,0),""))&amp;""</f>
        <v/>
      </c>
      <c r="D317" s="209" t="str">
        <f>IFERROR(VLOOKUP($B317,'Institution Evaluation'!$A$55:$F$345,3,0),IFERROR(VLOOKUP($B317,'Privacy Analyst Evaluation'!$A$46:$F$120,3,0),""))&amp;""</f>
        <v/>
      </c>
      <c r="E317" s="209" t="str">
        <f>IFERROR(VLOOKUP($B317,'Institution Evaluation'!$A$55:$F$345,4,0),IFERROR(VLOOKUP($B317,'Privacy Analyst Evaluation'!$A$46:$F$120,4,0),""))&amp;""</f>
        <v/>
      </c>
      <c r="F317" s="209" t="str">
        <f>IFERROR(VLOOKUP($B317,'Institution Evaluation'!$A$55:$F$345,6,0),IFERROR(VLOOKUP($B317,'Privacy Analyst Evaluation'!$A$46:$F$120,6,0),""))&amp;""</f>
        <v/>
      </c>
      <c r="G317" s="210"/>
      <c r="H317" s="209" t="str">
        <f>IFERROR(IF($H316+1&gt;'(backend scoring)'!$Q$335,"",$H316+1),"")</f>
        <v/>
      </c>
      <c r="I317" s="209" t="str">
        <f>_xlfn.XLOOKUP($H317,'(backend scoring)'!$S$2:$S$333,'(backend scoring)'!$A$2:$A$333,"")</f>
        <v/>
      </c>
      <c r="J317" s="209" t="str">
        <f>IFERROR(VLOOKUP($I317,'Institution Evaluation'!$A$55:$F$345,2,0),IFERROR(VLOOKUP($I317,'Privacy Analyst Evaluation'!$A$46:$F$120,2,0),""))</f>
        <v/>
      </c>
      <c r="K317" s="209" t="str">
        <f>IFERROR(VLOOKUP($I317,'Institution Evaluation'!$A$55:$F$345,3,0),IFERROR(VLOOKUP($I317,'Privacy Analyst Evaluation'!$A$46:$F$120,3,0),""))&amp;""</f>
        <v/>
      </c>
      <c r="L317" s="209" t="str">
        <f>IFERROR(VLOOKUP($I317,'Institution Evaluation'!$A$55:$F$345,4,0),IFERROR(VLOOKUP($I317,'Privacy Analyst Evaluation'!$A$46:$F$120,4,0),""))&amp;""</f>
        <v/>
      </c>
      <c r="M317" s="209" t="str">
        <f>IFERROR(VLOOKUP($I317,'Institution Evaluation'!$A$55:$F$345,6,0),IFERROR(VLOOKUP($I317,'Privacy Analyst Evaluation'!$A$46:$F$120,6,0),""))&amp;""</f>
        <v/>
      </c>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row>
    <row r="318" spans="1:338" x14ac:dyDescent="0.3">
      <c r="A318" s="209" t="str">
        <f>IFERROR(IF($A317+1&gt;'(backend scoring)'!$T$335,"",$A317+1),"")</f>
        <v/>
      </c>
      <c r="B318" s="209" t="str">
        <f>_xlfn.XLOOKUP($A318,'(backend scoring)'!$V$2:$V$333,'(backend scoring)'!$A$2:$A$333,"")</f>
        <v/>
      </c>
      <c r="C318" s="209" t="str">
        <f>IFERROR(VLOOKUP($B318,'Institution Evaluation'!$A$55:$F$345,2,0),IFERROR(VLOOKUP($B318,'Privacy Analyst Evaluation'!$A$46:$F$120,2,0),""))&amp;""</f>
        <v/>
      </c>
      <c r="D318" s="209" t="str">
        <f>IFERROR(VLOOKUP($B318,'Institution Evaluation'!$A$55:$F$345,3,0),IFERROR(VLOOKUP($B318,'Privacy Analyst Evaluation'!$A$46:$F$120,3,0),""))&amp;""</f>
        <v/>
      </c>
      <c r="E318" s="209" t="str">
        <f>IFERROR(VLOOKUP($B318,'Institution Evaluation'!$A$55:$F$345,4,0),IFERROR(VLOOKUP($B318,'Privacy Analyst Evaluation'!$A$46:$F$120,4,0),""))&amp;""</f>
        <v/>
      </c>
      <c r="F318" s="209" t="str">
        <f>IFERROR(VLOOKUP($B318,'Institution Evaluation'!$A$55:$F$345,6,0),IFERROR(VLOOKUP($B318,'Privacy Analyst Evaluation'!$A$46:$F$120,6,0),""))&amp;""</f>
        <v/>
      </c>
      <c r="G318" s="210"/>
      <c r="H318" s="209" t="str">
        <f>IFERROR(IF($H317+1&gt;'(backend scoring)'!$Q$335,"",$H317+1),"")</f>
        <v/>
      </c>
      <c r="I318" s="209" t="str">
        <f>_xlfn.XLOOKUP($H318,'(backend scoring)'!$S$2:$S$333,'(backend scoring)'!$A$2:$A$333,"")</f>
        <v/>
      </c>
      <c r="J318" s="209" t="str">
        <f>IFERROR(VLOOKUP($I318,'Institution Evaluation'!$A$55:$F$345,2,0),IFERROR(VLOOKUP($I318,'Privacy Analyst Evaluation'!$A$46:$F$120,2,0),""))</f>
        <v/>
      </c>
      <c r="K318" s="209" t="str">
        <f>IFERROR(VLOOKUP($I318,'Institution Evaluation'!$A$55:$F$345,3,0),IFERROR(VLOOKUP($I318,'Privacy Analyst Evaluation'!$A$46:$F$120,3,0),""))&amp;""</f>
        <v/>
      </c>
      <c r="L318" s="209" t="str">
        <f>IFERROR(VLOOKUP($I318,'Institution Evaluation'!$A$55:$F$345,4,0),IFERROR(VLOOKUP($I318,'Privacy Analyst Evaluation'!$A$46:$F$120,4,0),""))&amp;""</f>
        <v/>
      </c>
      <c r="M318" s="209" t="str">
        <f>IFERROR(VLOOKUP($I318,'Institution Evaluation'!$A$55:$F$345,6,0),IFERROR(VLOOKUP($I318,'Privacy Analyst Evaluation'!$A$46:$F$120,6,0),""))&amp;""</f>
        <v/>
      </c>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row>
    <row r="319" spans="1:338" x14ac:dyDescent="0.3">
      <c r="A319" s="209" t="str">
        <f>IFERROR(IF($A318+1&gt;'(backend scoring)'!$T$335,"",$A318+1),"")</f>
        <v/>
      </c>
      <c r="B319" s="209" t="str">
        <f>_xlfn.XLOOKUP($A319,'(backend scoring)'!$V$2:$V$333,'(backend scoring)'!$A$2:$A$333,"")</f>
        <v/>
      </c>
      <c r="C319" s="209" t="str">
        <f>IFERROR(VLOOKUP($B319,'Institution Evaluation'!$A$55:$F$345,2,0),IFERROR(VLOOKUP($B319,'Privacy Analyst Evaluation'!$A$46:$F$120,2,0),""))&amp;""</f>
        <v/>
      </c>
      <c r="D319" s="209" t="str">
        <f>IFERROR(VLOOKUP($B319,'Institution Evaluation'!$A$55:$F$345,3,0),IFERROR(VLOOKUP($B319,'Privacy Analyst Evaluation'!$A$46:$F$120,3,0),""))&amp;""</f>
        <v/>
      </c>
      <c r="E319" s="209" t="str">
        <f>IFERROR(VLOOKUP($B319,'Institution Evaluation'!$A$55:$F$345,4,0),IFERROR(VLOOKUP($B319,'Privacy Analyst Evaluation'!$A$46:$F$120,4,0),""))&amp;""</f>
        <v/>
      </c>
      <c r="F319" s="209" t="str">
        <f>IFERROR(VLOOKUP($B319,'Institution Evaluation'!$A$55:$F$345,6,0),IFERROR(VLOOKUP($B319,'Privacy Analyst Evaluation'!$A$46:$F$120,6,0),""))&amp;""</f>
        <v/>
      </c>
      <c r="G319" s="210"/>
      <c r="H319" s="209" t="str">
        <f>IFERROR(IF($H318+1&gt;'(backend scoring)'!$Q$335,"",$H318+1),"")</f>
        <v/>
      </c>
      <c r="I319" s="209" t="str">
        <f>_xlfn.XLOOKUP($H319,'(backend scoring)'!$S$2:$S$333,'(backend scoring)'!$A$2:$A$333,"")</f>
        <v/>
      </c>
      <c r="J319" s="209" t="str">
        <f>IFERROR(VLOOKUP($I319,'Institution Evaluation'!$A$55:$F$345,2,0),IFERROR(VLOOKUP($I319,'Privacy Analyst Evaluation'!$A$46:$F$120,2,0),""))</f>
        <v/>
      </c>
      <c r="K319" s="209" t="str">
        <f>IFERROR(VLOOKUP($I319,'Institution Evaluation'!$A$55:$F$345,3,0),IFERROR(VLOOKUP($I319,'Privacy Analyst Evaluation'!$A$46:$F$120,3,0),""))&amp;""</f>
        <v/>
      </c>
      <c r="L319" s="209" t="str">
        <f>IFERROR(VLOOKUP($I319,'Institution Evaluation'!$A$55:$F$345,4,0),IFERROR(VLOOKUP($I319,'Privacy Analyst Evaluation'!$A$46:$F$120,4,0),""))&amp;""</f>
        <v/>
      </c>
      <c r="M319" s="209" t="str">
        <f>IFERROR(VLOOKUP($I319,'Institution Evaluation'!$A$55:$F$345,6,0),IFERROR(VLOOKUP($I319,'Privacy Analyst Evaluation'!$A$46:$F$120,6,0),""))&amp;""</f>
        <v/>
      </c>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row>
    <row r="320" spans="1:338" x14ac:dyDescent="0.3">
      <c r="A320" s="209" t="str">
        <f>IFERROR(IF($A319+1&gt;'(backend scoring)'!$T$335,"",$A319+1),"")</f>
        <v/>
      </c>
      <c r="B320" s="209" t="str">
        <f>_xlfn.XLOOKUP($A320,'(backend scoring)'!$V$2:$V$333,'(backend scoring)'!$A$2:$A$333,"")</f>
        <v/>
      </c>
      <c r="C320" s="209" t="str">
        <f>IFERROR(VLOOKUP($B320,'Institution Evaluation'!$A$55:$F$345,2,0),IFERROR(VLOOKUP($B320,'Privacy Analyst Evaluation'!$A$46:$F$120,2,0),""))&amp;""</f>
        <v/>
      </c>
      <c r="D320" s="209" t="str">
        <f>IFERROR(VLOOKUP($B320,'Institution Evaluation'!$A$55:$F$345,3,0),IFERROR(VLOOKUP($B320,'Privacy Analyst Evaluation'!$A$46:$F$120,3,0),""))&amp;""</f>
        <v/>
      </c>
      <c r="E320" s="209" t="str">
        <f>IFERROR(VLOOKUP($B320,'Institution Evaluation'!$A$55:$F$345,4,0),IFERROR(VLOOKUP($B320,'Privacy Analyst Evaluation'!$A$46:$F$120,4,0),""))&amp;""</f>
        <v/>
      </c>
      <c r="F320" s="209" t="str">
        <f>IFERROR(VLOOKUP($B320,'Institution Evaluation'!$A$55:$F$345,6,0),IFERROR(VLOOKUP($B320,'Privacy Analyst Evaluation'!$A$46:$F$120,6,0),""))&amp;""</f>
        <v/>
      </c>
      <c r="G320" s="210"/>
      <c r="H320" s="209" t="str">
        <f>IFERROR(IF($H319+1&gt;'(backend scoring)'!$Q$335,"",$H319+1),"")</f>
        <v/>
      </c>
      <c r="I320" s="209" t="str">
        <f>_xlfn.XLOOKUP($H320,'(backend scoring)'!$S$2:$S$333,'(backend scoring)'!$A$2:$A$333,"")</f>
        <v/>
      </c>
      <c r="J320" s="209" t="str">
        <f>IFERROR(VLOOKUP($I320,'Institution Evaluation'!$A$55:$F$345,2,0),IFERROR(VLOOKUP($I320,'Privacy Analyst Evaluation'!$A$46:$F$120,2,0),""))</f>
        <v/>
      </c>
      <c r="K320" s="209" t="str">
        <f>IFERROR(VLOOKUP($I320,'Institution Evaluation'!$A$55:$F$345,3,0),IFERROR(VLOOKUP($I320,'Privacy Analyst Evaluation'!$A$46:$F$120,3,0),""))&amp;""</f>
        <v/>
      </c>
      <c r="L320" s="209" t="str">
        <f>IFERROR(VLOOKUP($I320,'Institution Evaluation'!$A$55:$F$345,4,0),IFERROR(VLOOKUP($I320,'Privacy Analyst Evaluation'!$A$46:$F$120,4,0),""))&amp;""</f>
        <v/>
      </c>
      <c r="M320" s="209" t="str">
        <f>IFERROR(VLOOKUP($I320,'Institution Evaluation'!$A$55:$F$345,6,0),IFERROR(VLOOKUP($I320,'Privacy Analyst Evaluation'!$A$46:$F$120,6,0),""))&amp;""</f>
        <v/>
      </c>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row>
    <row r="321" spans="1:338" x14ac:dyDescent="0.3">
      <c r="A321" s="209" t="str">
        <f>IFERROR(IF($A320+1&gt;'(backend scoring)'!$T$335,"",$A320+1),"")</f>
        <v/>
      </c>
      <c r="B321" s="209" t="str">
        <f>_xlfn.XLOOKUP($A321,'(backend scoring)'!$V$2:$V$333,'(backend scoring)'!$A$2:$A$333,"")</f>
        <v/>
      </c>
      <c r="C321" s="209" t="str">
        <f>IFERROR(VLOOKUP($B321,'Institution Evaluation'!$A$55:$F$345,2,0),IFERROR(VLOOKUP($B321,'Privacy Analyst Evaluation'!$A$46:$F$120,2,0),""))&amp;""</f>
        <v/>
      </c>
      <c r="D321" s="209" t="str">
        <f>IFERROR(VLOOKUP($B321,'Institution Evaluation'!$A$55:$F$345,3,0),IFERROR(VLOOKUP($B321,'Privacy Analyst Evaluation'!$A$46:$F$120,3,0),""))&amp;""</f>
        <v/>
      </c>
      <c r="E321" s="209" t="str">
        <f>IFERROR(VLOOKUP($B321,'Institution Evaluation'!$A$55:$F$345,4,0),IFERROR(VLOOKUP($B321,'Privacy Analyst Evaluation'!$A$46:$F$120,4,0),""))&amp;""</f>
        <v/>
      </c>
      <c r="F321" s="209" t="str">
        <f>IFERROR(VLOOKUP($B321,'Institution Evaluation'!$A$55:$F$345,6,0),IFERROR(VLOOKUP($B321,'Privacy Analyst Evaluation'!$A$46:$F$120,6,0),""))&amp;""</f>
        <v/>
      </c>
      <c r="G321" s="210"/>
      <c r="H321" s="209" t="str">
        <f>IFERROR(IF($H320+1&gt;'(backend scoring)'!$Q$335,"",$H320+1),"")</f>
        <v/>
      </c>
      <c r="I321" s="209" t="str">
        <f>_xlfn.XLOOKUP($H321,'(backend scoring)'!$S$2:$S$333,'(backend scoring)'!$A$2:$A$333,"")</f>
        <v/>
      </c>
      <c r="J321" s="209" t="str">
        <f>IFERROR(VLOOKUP($I321,'Institution Evaluation'!$A$55:$F$345,2,0),IFERROR(VLOOKUP($I321,'Privacy Analyst Evaluation'!$A$46:$F$120,2,0),""))</f>
        <v/>
      </c>
      <c r="K321" s="209" t="str">
        <f>IFERROR(VLOOKUP($I321,'Institution Evaluation'!$A$55:$F$345,3,0),IFERROR(VLOOKUP($I321,'Privacy Analyst Evaluation'!$A$46:$F$120,3,0),""))&amp;""</f>
        <v/>
      </c>
      <c r="L321" s="209" t="str">
        <f>IFERROR(VLOOKUP($I321,'Institution Evaluation'!$A$55:$F$345,4,0),IFERROR(VLOOKUP($I321,'Privacy Analyst Evaluation'!$A$46:$F$120,4,0),""))&amp;""</f>
        <v/>
      </c>
      <c r="M321" s="209" t="str">
        <f>IFERROR(VLOOKUP($I321,'Institution Evaluation'!$A$55:$F$345,6,0),IFERROR(VLOOKUP($I321,'Privacy Analyst Evaluation'!$A$46:$F$120,6,0),""))&amp;""</f>
        <v/>
      </c>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row>
    <row r="322" spans="1:338" x14ac:dyDescent="0.3">
      <c r="A322" s="209" t="str">
        <f>IFERROR(IF($A321+1&gt;'(backend scoring)'!$T$335,"",$A321+1),"")</f>
        <v/>
      </c>
      <c r="B322" s="209" t="str">
        <f>_xlfn.XLOOKUP($A322,'(backend scoring)'!$V$2:$V$333,'(backend scoring)'!$A$2:$A$333,"")</f>
        <v/>
      </c>
      <c r="C322" s="209" t="str">
        <f>IFERROR(VLOOKUP($B322,'Institution Evaluation'!$A$55:$F$345,2,0),IFERROR(VLOOKUP($B322,'Privacy Analyst Evaluation'!$A$46:$F$120,2,0),""))&amp;""</f>
        <v/>
      </c>
      <c r="D322" s="209" t="str">
        <f>IFERROR(VLOOKUP($B322,'Institution Evaluation'!$A$55:$F$345,3,0),IFERROR(VLOOKUP($B322,'Privacy Analyst Evaluation'!$A$46:$F$120,3,0),""))&amp;""</f>
        <v/>
      </c>
      <c r="E322" s="209" t="str">
        <f>IFERROR(VLOOKUP($B322,'Institution Evaluation'!$A$55:$F$345,4,0),IFERROR(VLOOKUP($B322,'Privacy Analyst Evaluation'!$A$46:$F$120,4,0),""))&amp;""</f>
        <v/>
      </c>
      <c r="F322" s="209" t="str">
        <f>IFERROR(VLOOKUP($B322,'Institution Evaluation'!$A$55:$F$345,6,0),IFERROR(VLOOKUP($B322,'Privacy Analyst Evaluation'!$A$46:$F$120,6,0),""))&amp;""</f>
        <v/>
      </c>
      <c r="G322" s="210"/>
      <c r="H322" s="209" t="str">
        <f>IFERROR(IF($H321+1&gt;'(backend scoring)'!$Q$335,"",$H321+1),"")</f>
        <v/>
      </c>
      <c r="I322" s="209" t="str">
        <f>_xlfn.XLOOKUP($H322,'(backend scoring)'!$S$2:$S$333,'(backend scoring)'!$A$2:$A$333,"")</f>
        <v/>
      </c>
      <c r="J322" s="209" t="str">
        <f>IFERROR(VLOOKUP($I322,'Institution Evaluation'!$A$55:$F$345,2,0),IFERROR(VLOOKUP($I322,'Privacy Analyst Evaluation'!$A$46:$F$120,2,0),""))</f>
        <v/>
      </c>
      <c r="K322" s="209" t="str">
        <f>IFERROR(VLOOKUP($I322,'Institution Evaluation'!$A$55:$F$345,3,0),IFERROR(VLOOKUP($I322,'Privacy Analyst Evaluation'!$A$46:$F$120,3,0),""))&amp;""</f>
        <v/>
      </c>
      <c r="L322" s="209" t="str">
        <f>IFERROR(VLOOKUP($I322,'Institution Evaluation'!$A$55:$F$345,4,0),IFERROR(VLOOKUP($I322,'Privacy Analyst Evaluation'!$A$46:$F$120,4,0),""))&amp;""</f>
        <v/>
      </c>
      <c r="M322" s="209" t="str">
        <f>IFERROR(VLOOKUP($I322,'Institution Evaluation'!$A$55:$F$345,6,0),IFERROR(VLOOKUP($I322,'Privacy Analyst Evaluation'!$A$46:$F$120,6,0),""))&amp;""</f>
        <v/>
      </c>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row>
    <row r="323" spans="1:338" x14ac:dyDescent="0.3">
      <c r="A323" s="209" t="str">
        <f>IFERROR(IF($A322+1&gt;'(backend scoring)'!$T$335,"",$A322+1),"")</f>
        <v/>
      </c>
      <c r="B323" s="209" t="str">
        <f>_xlfn.XLOOKUP($A323,'(backend scoring)'!$V$2:$V$333,'(backend scoring)'!$A$2:$A$333,"")</f>
        <v/>
      </c>
      <c r="C323" s="209" t="str">
        <f>IFERROR(VLOOKUP($B323,'Institution Evaluation'!$A$55:$F$345,2,0),IFERROR(VLOOKUP($B323,'Privacy Analyst Evaluation'!$A$46:$F$120,2,0),""))&amp;""</f>
        <v/>
      </c>
      <c r="D323" s="209" t="str">
        <f>IFERROR(VLOOKUP($B323,'Institution Evaluation'!$A$55:$F$345,3,0),IFERROR(VLOOKUP($B323,'Privacy Analyst Evaluation'!$A$46:$F$120,3,0),""))&amp;""</f>
        <v/>
      </c>
      <c r="E323" s="209" t="str">
        <f>IFERROR(VLOOKUP($B323,'Institution Evaluation'!$A$55:$F$345,4,0),IFERROR(VLOOKUP($B323,'Privacy Analyst Evaluation'!$A$46:$F$120,4,0),""))&amp;""</f>
        <v/>
      </c>
      <c r="F323" s="209" t="str">
        <f>IFERROR(VLOOKUP($B323,'Institution Evaluation'!$A$55:$F$345,6,0),IFERROR(VLOOKUP($B323,'Privacy Analyst Evaluation'!$A$46:$F$120,6,0),""))&amp;""</f>
        <v/>
      </c>
      <c r="G323" s="210"/>
      <c r="H323" s="209" t="str">
        <f>IFERROR(IF($H322+1&gt;'(backend scoring)'!$Q$335,"",$H322+1),"")</f>
        <v/>
      </c>
      <c r="I323" s="209" t="str">
        <f>_xlfn.XLOOKUP($H323,'(backend scoring)'!$S$2:$S$333,'(backend scoring)'!$A$2:$A$333,"")</f>
        <v/>
      </c>
      <c r="J323" s="209" t="str">
        <f>IFERROR(VLOOKUP($I323,'Institution Evaluation'!$A$55:$F$345,2,0),IFERROR(VLOOKUP($I323,'Privacy Analyst Evaluation'!$A$46:$F$120,2,0),""))</f>
        <v/>
      </c>
      <c r="K323" s="209" t="str">
        <f>IFERROR(VLOOKUP($I323,'Institution Evaluation'!$A$55:$F$345,3,0),IFERROR(VLOOKUP($I323,'Privacy Analyst Evaluation'!$A$46:$F$120,3,0),""))&amp;""</f>
        <v/>
      </c>
      <c r="L323" s="209" t="str">
        <f>IFERROR(VLOOKUP($I323,'Institution Evaluation'!$A$55:$F$345,4,0),IFERROR(VLOOKUP($I323,'Privacy Analyst Evaluation'!$A$46:$F$120,4,0),""))&amp;""</f>
        <v/>
      </c>
      <c r="M323" s="209" t="str">
        <f>IFERROR(VLOOKUP($I323,'Institution Evaluation'!$A$55:$F$345,6,0),IFERROR(VLOOKUP($I323,'Privacy Analyst Evaluation'!$A$46:$F$120,6,0),""))&amp;""</f>
        <v/>
      </c>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row>
    <row r="324" spans="1:338" x14ac:dyDescent="0.3">
      <c r="A324" s="209" t="str">
        <f>IFERROR(IF($A323+1&gt;'(backend scoring)'!$T$335,"",$A323+1),"")</f>
        <v/>
      </c>
      <c r="B324" s="209" t="str">
        <f>_xlfn.XLOOKUP($A324,'(backend scoring)'!$V$2:$V$333,'(backend scoring)'!$A$2:$A$333,"")</f>
        <v/>
      </c>
      <c r="C324" s="209" t="str">
        <f>IFERROR(VLOOKUP($B324,'Institution Evaluation'!$A$55:$F$345,2,0),IFERROR(VLOOKUP($B324,'Privacy Analyst Evaluation'!$A$46:$F$120,2,0),""))&amp;""</f>
        <v/>
      </c>
      <c r="D324" s="209" t="str">
        <f>IFERROR(VLOOKUP($B324,'Institution Evaluation'!$A$55:$F$345,3,0),IFERROR(VLOOKUP($B324,'Privacy Analyst Evaluation'!$A$46:$F$120,3,0),""))&amp;""</f>
        <v/>
      </c>
      <c r="E324" s="209" t="str">
        <f>IFERROR(VLOOKUP($B324,'Institution Evaluation'!$A$55:$F$345,4,0),IFERROR(VLOOKUP($B324,'Privacy Analyst Evaluation'!$A$46:$F$120,4,0),""))&amp;""</f>
        <v/>
      </c>
      <c r="F324" s="209" t="str">
        <f>IFERROR(VLOOKUP($B324,'Institution Evaluation'!$A$55:$F$345,6,0),IFERROR(VLOOKUP($B324,'Privacy Analyst Evaluation'!$A$46:$F$120,6,0),""))&amp;""</f>
        <v/>
      </c>
      <c r="G324" s="210"/>
      <c r="H324" s="209" t="str">
        <f>IFERROR(IF($H323+1&gt;'(backend scoring)'!$Q$335,"",$H323+1),"")</f>
        <v/>
      </c>
      <c r="I324" s="209" t="str">
        <f>_xlfn.XLOOKUP($H324,'(backend scoring)'!$S$2:$S$333,'(backend scoring)'!$A$2:$A$333,"")</f>
        <v/>
      </c>
      <c r="J324" s="209" t="str">
        <f>IFERROR(VLOOKUP($I324,'Institution Evaluation'!$A$55:$F$345,2,0),IFERROR(VLOOKUP($I324,'Privacy Analyst Evaluation'!$A$46:$F$120,2,0),""))</f>
        <v/>
      </c>
      <c r="K324" s="209" t="str">
        <f>IFERROR(VLOOKUP($I324,'Institution Evaluation'!$A$55:$F$345,3,0),IFERROR(VLOOKUP($I324,'Privacy Analyst Evaluation'!$A$46:$F$120,3,0),""))&amp;""</f>
        <v/>
      </c>
      <c r="L324" s="209" t="str">
        <f>IFERROR(VLOOKUP($I324,'Institution Evaluation'!$A$55:$F$345,4,0),IFERROR(VLOOKUP($I324,'Privacy Analyst Evaluation'!$A$46:$F$120,4,0),""))&amp;""</f>
        <v/>
      </c>
      <c r="M324" s="209" t="str">
        <f>IFERROR(VLOOKUP($I324,'Institution Evaluation'!$A$55:$F$345,6,0),IFERROR(VLOOKUP($I324,'Privacy Analyst Evaluation'!$A$46:$F$120,6,0),""))&amp;""</f>
        <v/>
      </c>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c r="II324"/>
      <c r="IJ324"/>
      <c r="IK324"/>
      <c r="IL324"/>
      <c r="IM324"/>
      <c r="IN324"/>
      <c r="IO324"/>
      <c r="IP324"/>
      <c r="IQ324"/>
      <c r="IR324"/>
      <c r="IS324"/>
      <c r="IT324"/>
      <c r="IU324"/>
      <c r="IV324"/>
      <c r="IW324"/>
      <c r="IX324"/>
      <c r="IY324"/>
      <c r="IZ324"/>
      <c r="JA324"/>
      <c r="JB324"/>
      <c r="JC324"/>
      <c r="JD324"/>
      <c r="JE324"/>
      <c r="JF324"/>
      <c r="JG324"/>
      <c r="JH324"/>
      <c r="JI324"/>
      <c r="JJ324"/>
      <c r="JK324"/>
      <c r="JL324"/>
      <c r="JM324"/>
      <c r="JN324"/>
      <c r="JO324"/>
      <c r="JP324"/>
      <c r="JQ324"/>
      <c r="JR324"/>
      <c r="JS324"/>
      <c r="JT324"/>
      <c r="JU324"/>
      <c r="JV324"/>
      <c r="JW324"/>
      <c r="JX324"/>
      <c r="JY324"/>
      <c r="JZ324"/>
      <c r="KA324"/>
      <c r="KB324"/>
      <c r="KC324"/>
      <c r="KD324"/>
      <c r="KE324"/>
      <c r="KF324"/>
      <c r="KG324"/>
      <c r="KH324"/>
      <c r="KI324"/>
      <c r="KJ324"/>
      <c r="KK324"/>
      <c r="KL324"/>
      <c r="KM324"/>
      <c r="KN324"/>
      <c r="KO324"/>
      <c r="KP324"/>
      <c r="KQ324"/>
      <c r="KR324"/>
      <c r="KS324"/>
      <c r="KT324"/>
      <c r="KU324"/>
      <c r="KV324"/>
      <c r="KW324"/>
      <c r="KX324"/>
      <c r="KY324"/>
      <c r="KZ324"/>
      <c r="LA324"/>
      <c r="LB324"/>
      <c r="LC324"/>
      <c r="LD324"/>
      <c r="LE324"/>
      <c r="LF324"/>
      <c r="LG324"/>
      <c r="LH324"/>
      <c r="LI324"/>
      <c r="LJ324"/>
      <c r="LK324"/>
      <c r="LL324"/>
      <c r="LM324"/>
      <c r="LN324"/>
      <c r="LO324"/>
      <c r="LP324"/>
      <c r="LQ324"/>
      <c r="LR324"/>
      <c r="LS324"/>
      <c r="LT324"/>
      <c r="LU324"/>
      <c r="LV324"/>
      <c r="LW324"/>
      <c r="LX324"/>
      <c r="LY324"/>
      <c r="LZ324"/>
    </row>
    <row r="325" spans="1:338" x14ac:dyDescent="0.3">
      <c r="A325" s="209" t="str">
        <f>IFERROR(IF($A324+1&gt;'(backend scoring)'!$T$335,"",$A324+1),"")</f>
        <v/>
      </c>
      <c r="B325" s="209" t="str">
        <f>_xlfn.XLOOKUP($A325,'(backend scoring)'!$V$2:$V$333,'(backend scoring)'!$A$2:$A$333,"")</f>
        <v/>
      </c>
      <c r="C325" s="209" t="str">
        <f>IFERROR(VLOOKUP($B325,'Institution Evaluation'!$A$55:$F$345,2,0),IFERROR(VLOOKUP($B325,'Privacy Analyst Evaluation'!$A$46:$F$120,2,0),""))&amp;""</f>
        <v/>
      </c>
      <c r="D325" s="209" t="str">
        <f>IFERROR(VLOOKUP($B325,'Institution Evaluation'!$A$55:$F$345,3,0),IFERROR(VLOOKUP($B325,'Privacy Analyst Evaluation'!$A$46:$F$120,3,0),""))&amp;""</f>
        <v/>
      </c>
      <c r="E325" s="209" t="str">
        <f>IFERROR(VLOOKUP($B325,'Institution Evaluation'!$A$55:$F$345,4,0),IFERROR(VLOOKUP($B325,'Privacy Analyst Evaluation'!$A$46:$F$120,4,0),""))&amp;""</f>
        <v/>
      </c>
      <c r="F325" s="209" t="str">
        <f>IFERROR(VLOOKUP($B325,'Institution Evaluation'!$A$55:$F$345,6,0),IFERROR(VLOOKUP($B325,'Privacy Analyst Evaluation'!$A$46:$F$120,6,0),""))&amp;""</f>
        <v/>
      </c>
      <c r="G325" s="210"/>
      <c r="H325" s="209" t="str">
        <f>IFERROR(IF($H324+1&gt;'(backend scoring)'!$Q$335,"",$H324+1),"")</f>
        <v/>
      </c>
      <c r="I325" s="209" t="str">
        <f>_xlfn.XLOOKUP($H325,'(backend scoring)'!$S$2:$S$333,'(backend scoring)'!$A$2:$A$333,"")</f>
        <v/>
      </c>
      <c r="J325" s="209" t="str">
        <f>IFERROR(VLOOKUP($I325,'Institution Evaluation'!$A$55:$F$345,2,0),IFERROR(VLOOKUP($I325,'Privacy Analyst Evaluation'!$A$46:$F$120,2,0),""))</f>
        <v/>
      </c>
      <c r="K325" s="209" t="str">
        <f>IFERROR(VLOOKUP($I325,'Institution Evaluation'!$A$55:$F$345,3,0),IFERROR(VLOOKUP($I325,'Privacy Analyst Evaluation'!$A$46:$F$120,3,0),""))&amp;""</f>
        <v/>
      </c>
      <c r="L325" s="209" t="str">
        <f>IFERROR(VLOOKUP($I325,'Institution Evaluation'!$A$55:$F$345,4,0),IFERROR(VLOOKUP($I325,'Privacy Analyst Evaluation'!$A$46:$F$120,4,0),""))&amp;""</f>
        <v/>
      </c>
      <c r="M325" s="209" t="str">
        <f>IFERROR(VLOOKUP($I325,'Institution Evaluation'!$A$55:$F$345,6,0),IFERROR(VLOOKUP($I325,'Privacy Analyst Evaluation'!$A$46:$F$120,6,0),""))&amp;""</f>
        <v/>
      </c>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c r="II325"/>
      <c r="IJ325"/>
      <c r="IK325"/>
      <c r="IL325"/>
      <c r="IM325"/>
      <c r="IN325"/>
      <c r="IO325"/>
      <c r="IP325"/>
      <c r="IQ325"/>
      <c r="IR325"/>
      <c r="IS325"/>
      <c r="IT325"/>
      <c r="IU325"/>
      <c r="IV325"/>
      <c r="IW325"/>
      <c r="IX325"/>
      <c r="IY325"/>
      <c r="IZ325"/>
      <c r="JA325"/>
      <c r="JB325"/>
      <c r="JC325"/>
      <c r="JD325"/>
      <c r="JE325"/>
      <c r="JF325"/>
      <c r="JG325"/>
      <c r="JH325"/>
      <c r="JI325"/>
      <c r="JJ325"/>
      <c r="JK325"/>
      <c r="JL325"/>
      <c r="JM325"/>
      <c r="JN325"/>
      <c r="JO325"/>
      <c r="JP325"/>
      <c r="JQ325"/>
      <c r="JR325"/>
      <c r="JS325"/>
      <c r="JT325"/>
      <c r="JU325"/>
      <c r="JV325"/>
      <c r="JW325"/>
      <c r="JX325"/>
      <c r="JY325"/>
      <c r="JZ325"/>
      <c r="KA325"/>
      <c r="KB325"/>
      <c r="KC325"/>
      <c r="KD325"/>
      <c r="KE325"/>
      <c r="KF325"/>
      <c r="KG325"/>
      <c r="KH325"/>
      <c r="KI325"/>
      <c r="KJ325"/>
      <c r="KK325"/>
      <c r="KL325"/>
      <c r="KM325"/>
      <c r="KN325"/>
      <c r="KO325"/>
      <c r="KP325"/>
      <c r="KQ325"/>
      <c r="KR325"/>
      <c r="KS325"/>
      <c r="KT325"/>
      <c r="KU325"/>
      <c r="KV325"/>
      <c r="KW325"/>
      <c r="KX325"/>
      <c r="KY325"/>
      <c r="KZ325"/>
      <c r="LA325"/>
      <c r="LB325"/>
      <c r="LC325"/>
      <c r="LD325"/>
      <c r="LE325"/>
      <c r="LF325"/>
      <c r="LG325"/>
      <c r="LH325"/>
      <c r="LI325"/>
      <c r="LJ325"/>
      <c r="LK325"/>
      <c r="LL325"/>
      <c r="LM325"/>
      <c r="LN325"/>
      <c r="LO325"/>
      <c r="LP325"/>
      <c r="LQ325"/>
      <c r="LR325"/>
      <c r="LS325"/>
      <c r="LT325"/>
      <c r="LU325"/>
      <c r="LV325"/>
      <c r="LW325"/>
      <c r="LX325"/>
      <c r="LY325"/>
      <c r="LZ325"/>
    </row>
    <row r="326" spans="1:338" x14ac:dyDescent="0.3">
      <c r="A326" s="209" t="str">
        <f>IFERROR(IF($A325+1&gt;'(backend scoring)'!$T$335,"",$A325+1),"")</f>
        <v/>
      </c>
      <c r="B326" s="209" t="str">
        <f>_xlfn.XLOOKUP($A326,'(backend scoring)'!$V$2:$V$333,'(backend scoring)'!$A$2:$A$333,"")</f>
        <v/>
      </c>
      <c r="C326" s="209" t="str">
        <f>IFERROR(VLOOKUP($B326,'Institution Evaluation'!$A$55:$F$345,2,0),IFERROR(VLOOKUP($B326,'Privacy Analyst Evaluation'!$A$46:$F$120,2,0),""))&amp;""</f>
        <v/>
      </c>
      <c r="D326" s="209" t="str">
        <f>IFERROR(VLOOKUP($B326,'Institution Evaluation'!$A$55:$F$345,3,0),IFERROR(VLOOKUP($B326,'Privacy Analyst Evaluation'!$A$46:$F$120,3,0),""))&amp;""</f>
        <v/>
      </c>
      <c r="E326" s="209" t="str">
        <f>IFERROR(VLOOKUP($B326,'Institution Evaluation'!$A$55:$F$345,4,0),IFERROR(VLOOKUP($B326,'Privacy Analyst Evaluation'!$A$46:$F$120,4,0),""))&amp;""</f>
        <v/>
      </c>
      <c r="F326" s="209" t="str">
        <f>IFERROR(VLOOKUP($B326,'Institution Evaluation'!$A$55:$F$345,6,0),IFERROR(VLOOKUP($B326,'Privacy Analyst Evaluation'!$A$46:$F$120,6,0),""))&amp;""</f>
        <v/>
      </c>
      <c r="G326" s="210"/>
      <c r="H326" s="209" t="str">
        <f>IFERROR(IF($H325+1&gt;'(backend scoring)'!$Q$335,"",$H325+1),"")</f>
        <v/>
      </c>
      <c r="I326" s="209" t="str">
        <f>_xlfn.XLOOKUP($H326,'(backend scoring)'!$S$2:$S$333,'(backend scoring)'!$A$2:$A$333,"")</f>
        <v/>
      </c>
      <c r="J326" s="209" t="str">
        <f>IFERROR(VLOOKUP($I326,'Institution Evaluation'!$A$55:$F$345,2,0),IFERROR(VLOOKUP($I326,'Privacy Analyst Evaluation'!$A$46:$F$120,2,0),""))</f>
        <v/>
      </c>
      <c r="K326" s="209" t="str">
        <f>IFERROR(VLOOKUP($I326,'Institution Evaluation'!$A$55:$F$345,3,0),IFERROR(VLOOKUP($I326,'Privacy Analyst Evaluation'!$A$46:$F$120,3,0),""))&amp;""</f>
        <v/>
      </c>
      <c r="L326" s="209" t="str">
        <f>IFERROR(VLOOKUP($I326,'Institution Evaluation'!$A$55:$F$345,4,0),IFERROR(VLOOKUP($I326,'Privacy Analyst Evaluation'!$A$46:$F$120,4,0),""))&amp;""</f>
        <v/>
      </c>
      <c r="M326" s="209" t="str">
        <f>IFERROR(VLOOKUP($I326,'Institution Evaluation'!$A$55:$F$345,6,0),IFERROR(VLOOKUP($I326,'Privacy Analyst Evaluation'!$A$46:$F$120,6,0),""))&amp;""</f>
        <v/>
      </c>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c r="IU326"/>
      <c r="IV326"/>
      <c r="IW326"/>
      <c r="IX326"/>
      <c r="IY326"/>
      <c r="IZ326"/>
      <c r="JA326"/>
      <c r="JB326"/>
      <c r="JC326"/>
      <c r="JD326"/>
      <c r="JE326"/>
      <c r="JF326"/>
      <c r="JG326"/>
      <c r="JH326"/>
      <c r="JI326"/>
      <c r="JJ326"/>
      <c r="JK326"/>
      <c r="JL326"/>
      <c r="JM326"/>
      <c r="JN326"/>
      <c r="JO326"/>
      <c r="JP326"/>
      <c r="JQ326"/>
      <c r="JR326"/>
      <c r="JS326"/>
      <c r="JT326"/>
      <c r="JU326"/>
      <c r="JV326"/>
      <c r="JW326"/>
      <c r="JX326"/>
      <c r="JY326"/>
      <c r="JZ326"/>
      <c r="KA326"/>
      <c r="KB326"/>
      <c r="KC326"/>
      <c r="KD326"/>
      <c r="KE326"/>
      <c r="KF326"/>
      <c r="KG326"/>
      <c r="KH326"/>
      <c r="KI326"/>
      <c r="KJ326"/>
      <c r="KK326"/>
      <c r="KL326"/>
      <c r="KM326"/>
      <c r="KN326"/>
      <c r="KO326"/>
      <c r="KP326"/>
      <c r="KQ326"/>
      <c r="KR326"/>
      <c r="KS326"/>
      <c r="KT326"/>
      <c r="KU326"/>
      <c r="KV326"/>
      <c r="KW326"/>
      <c r="KX326"/>
      <c r="KY326"/>
      <c r="KZ326"/>
      <c r="LA326"/>
      <c r="LB326"/>
      <c r="LC326"/>
      <c r="LD326"/>
      <c r="LE326"/>
      <c r="LF326"/>
      <c r="LG326"/>
      <c r="LH326"/>
      <c r="LI326"/>
      <c r="LJ326"/>
      <c r="LK326"/>
      <c r="LL326"/>
      <c r="LM326"/>
      <c r="LN326"/>
      <c r="LO326"/>
      <c r="LP326"/>
      <c r="LQ326"/>
      <c r="LR326"/>
      <c r="LS326"/>
      <c r="LT326"/>
      <c r="LU326"/>
      <c r="LV326"/>
      <c r="LW326"/>
      <c r="LX326"/>
      <c r="LY326"/>
      <c r="LZ326"/>
    </row>
    <row r="327" spans="1:338" x14ac:dyDescent="0.3">
      <c r="A327" s="209" t="str">
        <f>IFERROR(IF($A326+1&gt;'(backend scoring)'!$T$335,"",$A326+1),"")</f>
        <v/>
      </c>
      <c r="B327" s="209" t="str">
        <f>_xlfn.XLOOKUP($A327,'(backend scoring)'!$V$2:$V$333,'(backend scoring)'!$A$2:$A$333,"")</f>
        <v/>
      </c>
      <c r="C327" s="209" t="str">
        <f>IFERROR(VLOOKUP($B327,'Institution Evaluation'!$A$55:$F$345,2,0),IFERROR(VLOOKUP($B327,'Privacy Analyst Evaluation'!$A$46:$F$120,2,0),""))&amp;""</f>
        <v/>
      </c>
      <c r="D327" s="209" t="str">
        <f>IFERROR(VLOOKUP($B327,'Institution Evaluation'!$A$55:$F$345,3,0),IFERROR(VLOOKUP($B327,'Privacy Analyst Evaluation'!$A$46:$F$120,3,0),""))&amp;""</f>
        <v/>
      </c>
      <c r="E327" s="209" t="str">
        <f>IFERROR(VLOOKUP($B327,'Institution Evaluation'!$A$55:$F$345,4,0),IFERROR(VLOOKUP($B327,'Privacy Analyst Evaluation'!$A$46:$F$120,4,0),""))&amp;""</f>
        <v/>
      </c>
      <c r="F327" s="209" t="str">
        <f>IFERROR(VLOOKUP($B327,'Institution Evaluation'!$A$55:$F$345,6,0),IFERROR(VLOOKUP($B327,'Privacy Analyst Evaluation'!$A$46:$F$120,6,0),""))&amp;""</f>
        <v/>
      </c>
      <c r="G327" s="210"/>
      <c r="H327" s="209" t="str">
        <f>IFERROR(IF($H326+1&gt;'(backend scoring)'!$Q$335,"",$H326+1),"")</f>
        <v/>
      </c>
      <c r="I327" s="209" t="str">
        <f>_xlfn.XLOOKUP($H327,'(backend scoring)'!$S$2:$S$333,'(backend scoring)'!$A$2:$A$333,"")</f>
        <v/>
      </c>
      <c r="J327" s="209" t="str">
        <f>IFERROR(VLOOKUP($I327,'Institution Evaluation'!$A$55:$F$345,2,0),IFERROR(VLOOKUP($I327,'Privacy Analyst Evaluation'!$A$46:$F$120,2,0),""))</f>
        <v/>
      </c>
      <c r="K327" s="209" t="str">
        <f>IFERROR(VLOOKUP($I327,'Institution Evaluation'!$A$55:$F$345,3,0),IFERROR(VLOOKUP($I327,'Privacy Analyst Evaluation'!$A$46:$F$120,3,0),""))&amp;""</f>
        <v/>
      </c>
      <c r="L327" s="209" t="str">
        <f>IFERROR(VLOOKUP($I327,'Institution Evaluation'!$A$55:$F$345,4,0),IFERROR(VLOOKUP($I327,'Privacy Analyst Evaluation'!$A$46:$F$120,4,0),""))&amp;""</f>
        <v/>
      </c>
      <c r="M327" s="209" t="str">
        <f>IFERROR(VLOOKUP($I327,'Institution Evaluation'!$A$55:$F$345,6,0),IFERROR(VLOOKUP($I327,'Privacy Analyst Evaluation'!$A$46:$F$120,6,0),""))&amp;""</f>
        <v/>
      </c>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c r="IU327"/>
      <c r="IV327"/>
      <c r="IW327"/>
      <c r="IX327"/>
      <c r="IY327"/>
      <c r="IZ327"/>
      <c r="JA327"/>
      <c r="JB327"/>
      <c r="JC327"/>
      <c r="JD327"/>
      <c r="JE327"/>
      <c r="JF327"/>
      <c r="JG327"/>
      <c r="JH327"/>
      <c r="JI327"/>
      <c r="JJ327"/>
      <c r="JK327"/>
      <c r="JL327"/>
      <c r="JM327"/>
      <c r="JN327"/>
      <c r="JO327"/>
      <c r="JP327"/>
      <c r="JQ327"/>
      <c r="JR327"/>
      <c r="JS327"/>
      <c r="JT327"/>
      <c r="JU327"/>
      <c r="JV327"/>
      <c r="JW327"/>
      <c r="JX327"/>
      <c r="JY327"/>
      <c r="JZ327"/>
      <c r="KA327"/>
      <c r="KB327"/>
      <c r="KC327"/>
      <c r="KD327"/>
      <c r="KE327"/>
      <c r="KF327"/>
      <c r="KG327"/>
      <c r="KH327"/>
      <c r="KI327"/>
      <c r="KJ327"/>
      <c r="KK327"/>
      <c r="KL327"/>
      <c r="KM327"/>
      <c r="KN327"/>
      <c r="KO327"/>
      <c r="KP327"/>
      <c r="KQ327"/>
      <c r="KR327"/>
      <c r="KS327"/>
      <c r="KT327"/>
      <c r="KU327"/>
      <c r="KV327"/>
      <c r="KW327"/>
      <c r="KX327"/>
      <c r="KY327"/>
      <c r="KZ327"/>
      <c r="LA327"/>
      <c r="LB327"/>
      <c r="LC327"/>
      <c r="LD327"/>
      <c r="LE327"/>
      <c r="LF327"/>
      <c r="LG327"/>
      <c r="LH327"/>
      <c r="LI327"/>
      <c r="LJ327"/>
      <c r="LK327"/>
      <c r="LL327"/>
      <c r="LM327"/>
      <c r="LN327"/>
      <c r="LO327"/>
      <c r="LP327"/>
      <c r="LQ327"/>
      <c r="LR327"/>
      <c r="LS327"/>
      <c r="LT327"/>
      <c r="LU327"/>
      <c r="LV327"/>
      <c r="LW327"/>
      <c r="LX327"/>
      <c r="LY327"/>
      <c r="LZ327"/>
    </row>
    <row r="328" spans="1:338" x14ac:dyDescent="0.3">
      <c r="A328" s="209" t="str">
        <f>IFERROR(IF($A327+1&gt;'(backend scoring)'!$T$335,"",$A327+1),"")</f>
        <v/>
      </c>
      <c r="B328" s="209" t="str">
        <f>_xlfn.XLOOKUP($A328,'(backend scoring)'!$V$2:$V$333,'(backend scoring)'!$A$2:$A$333,"")</f>
        <v/>
      </c>
      <c r="C328" s="209" t="str">
        <f>IFERROR(VLOOKUP($B328,'Institution Evaluation'!$A$55:$F$345,2,0),IFERROR(VLOOKUP($B328,'Privacy Analyst Evaluation'!$A$46:$F$120,2,0),""))&amp;""</f>
        <v/>
      </c>
      <c r="D328" s="209" t="str">
        <f>IFERROR(VLOOKUP($B328,'Institution Evaluation'!$A$55:$F$345,3,0),IFERROR(VLOOKUP($B328,'Privacy Analyst Evaluation'!$A$46:$F$120,3,0),""))&amp;""</f>
        <v/>
      </c>
      <c r="E328" s="209" t="str">
        <f>IFERROR(VLOOKUP($B328,'Institution Evaluation'!$A$55:$F$345,4,0),IFERROR(VLOOKUP($B328,'Privacy Analyst Evaluation'!$A$46:$F$120,4,0),""))&amp;""</f>
        <v/>
      </c>
      <c r="F328" s="209" t="str">
        <f>IFERROR(VLOOKUP($B328,'Institution Evaluation'!$A$55:$F$345,6,0),IFERROR(VLOOKUP($B328,'Privacy Analyst Evaluation'!$A$46:$F$120,6,0),""))&amp;""</f>
        <v/>
      </c>
      <c r="G328" s="210"/>
      <c r="H328" s="209" t="str">
        <f>IFERROR(IF($H327+1&gt;'(backend scoring)'!$Q$335,"",$H327+1),"")</f>
        <v/>
      </c>
      <c r="I328" s="209" t="str">
        <f>_xlfn.XLOOKUP($H328,'(backend scoring)'!$S$2:$S$333,'(backend scoring)'!$A$2:$A$333,"")</f>
        <v/>
      </c>
      <c r="J328" s="209" t="str">
        <f>IFERROR(VLOOKUP($I328,'Institution Evaluation'!$A$55:$F$345,2,0),IFERROR(VLOOKUP($I328,'Privacy Analyst Evaluation'!$A$46:$F$120,2,0),""))</f>
        <v/>
      </c>
      <c r="K328" s="209" t="str">
        <f>IFERROR(VLOOKUP($I328,'Institution Evaluation'!$A$55:$F$345,3,0),IFERROR(VLOOKUP($I328,'Privacy Analyst Evaluation'!$A$46:$F$120,3,0),""))&amp;""</f>
        <v/>
      </c>
      <c r="L328" s="209" t="str">
        <f>IFERROR(VLOOKUP($I328,'Institution Evaluation'!$A$55:$F$345,4,0),IFERROR(VLOOKUP($I328,'Privacy Analyst Evaluation'!$A$46:$F$120,4,0),""))&amp;""</f>
        <v/>
      </c>
      <c r="M328" s="209" t="str">
        <f>IFERROR(VLOOKUP($I328,'Institution Evaluation'!$A$55:$F$345,6,0),IFERROR(VLOOKUP($I328,'Privacy Analyst Evaluation'!$A$46:$F$120,6,0),""))&amp;""</f>
        <v/>
      </c>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c r="II328"/>
      <c r="IJ328"/>
      <c r="IK328"/>
      <c r="IL328"/>
      <c r="IM328"/>
      <c r="IN328"/>
      <c r="IO328"/>
      <c r="IP328"/>
      <c r="IQ328"/>
      <c r="IR328"/>
      <c r="IS328"/>
      <c r="IT328"/>
      <c r="IU328"/>
      <c r="IV328"/>
      <c r="IW328"/>
      <c r="IX328"/>
      <c r="IY328"/>
      <c r="IZ328"/>
      <c r="JA328"/>
      <c r="JB328"/>
      <c r="JC328"/>
      <c r="JD328"/>
      <c r="JE328"/>
      <c r="JF328"/>
      <c r="JG328"/>
      <c r="JH328"/>
      <c r="JI328"/>
      <c r="JJ328"/>
      <c r="JK328"/>
      <c r="JL328"/>
      <c r="JM328"/>
      <c r="JN328"/>
      <c r="JO328"/>
      <c r="JP328"/>
      <c r="JQ328"/>
      <c r="JR328"/>
      <c r="JS328"/>
      <c r="JT328"/>
      <c r="JU328"/>
      <c r="JV328"/>
      <c r="JW328"/>
      <c r="JX328"/>
      <c r="JY328"/>
      <c r="JZ328"/>
      <c r="KA328"/>
      <c r="KB328"/>
      <c r="KC328"/>
      <c r="KD328"/>
      <c r="KE328"/>
      <c r="KF328"/>
      <c r="KG328"/>
      <c r="KH328"/>
      <c r="KI328"/>
      <c r="KJ328"/>
      <c r="KK328"/>
      <c r="KL328"/>
      <c r="KM328"/>
      <c r="KN328"/>
      <c r="KO328"/>
      <c r="KP328"/>
      <c r="KQ328"/>
      <c r="KR328"/>
      <c r="KS328"/>
      <c r="KT328"/>
      <c r="KU328"/>
      <c r="KV328"/>
      <c r="KW328"/>
      <c r="KX328"/>
      <c r="KY328"/>
      <c r="KZ328"/>
      <c r="LA328"/>
      <c r="LB328"/>
      <c r="LC328"/>
      <c r="LD328"/>
      <c r="LE328"/>
      <c r="LF328"/>
      <c r="LG328"/>
      <c r="LH328"/>
      <c r="LI328"/>
      <c r="LJ328"/>
      <c r="LK328"/>
      <c r="LL328"/>
      <c r="LM328"/>
      <c r="LN328"/>
      <c r="LO328"/>
      <c r="LP328"/>
      <c r="LQ328"/>
      <c r="LR328"/>
      <c r="LS328"/>
      <c r="LT328"/>
      <c r="LU328"/>
      <c r="LV328"/>
      <c r="LW328"/>
      <c r="LX328"/>
      <c r="LY328"/>
      <c r="LZ328"/>
    </row>
    <row r="329" spans="1:338" x14ac:dyDescent="0.3">
      <c r="A329" s="209" t="str">
        <f>IFERROR(IF($A328+1&gt;'(backend scoring)'!$T$335,"",$A328+1),"")</f>
        <v/>
      </c>
      <c r="B329" s="209" t="str">
        <f>_xlfn.XLOOKUP($A329,'(backend scoring)'!$V$2:$V$333,'(backend scoring)'!$A$2:$A$333,"")</f>
        <v/>
      </c>
      <c r="C329" s="209" t="str">
        <f>IFERROR(VLOOKUP($B329,'Institution Evaluation'!$A$55:$F$345,2,0),IFERROR(VLOOKUP($B329,'Privacy Analyst Evaluation'!$A$46:$F$120,2,0),""))&amp;""</f>
        <v/>
      </c>
      <c r="D329" s="209" t="str">
        <f>IFERROR(VLOOKUP($B329,'Institution Evaluation'!$A$55:$F$345,3,0),IFERROR(VLOOKUP($B329,'Privacy Analyst Evaluation'!$A$46:$F$120,3,0),""))&amp;""</f>
        <v/>
      </c>
      <c r="E329" s="209" t="str">
        <f>IFERROR(VLOOKUP($B329,'Institution Evaluation'!$A$55:$F$345,4,0),IFERROR(VLOOKUP($B329,'Privacy Analyst Evaluation'!$A$46:$F$120,4,0),""))&amp;""</f>
        <v/>
      </c>
      <c r="F329" s="209" t="str">
        <f>IFERROR(VLOOKUP($B329,'Institution Evaluation'!$A$55:$F$345,6,0),IFERROR(VLOOKUP($B329,'Privacy Analyst Evaluation'!$A$46:$F$120,6,0),""))&amp;""</f>
        <v/>
      </c>
      <c r="G329" s="210"/>
      <c r="H329" s="209" t="str">
        <f>IFERROR(IF($H328+1&gt;'(backend scoring)'!$Q$335,"",$H328+1),"")</f>
        <v/>
      </c>
      <c r="I329" s="209" t="str">
        <f>_xlfn.XLOOKUP($H329,'(backend scoring)'!$S$2:$S$333,'(backend scoring)'!$A$2:$A$333,"")</f>
        <v/>
      </c>
      <c r="J329" s="209" t="str">
        <f>IFERROR(VLOOKUP($I329,'Institution Evaluation'!$A$55:$F$345,2,0),IFERROR(VLOOKUP($I329,'Privacy Analyst Evaluation'!$A$46:$F$120,2,0),""))</f>
        <v/>
      </c>
      <c r="K329" s="209" t="str">
        <f>IFERROR(VLOOKUP($I329,'Institution Evaluation'!$A$55:$F$345,3,0),IFERROR(VLOOKUP($I329,'Privacy Analyst Evaluation'!$A$46:$F$120,3,0),""))&amp;""</f>
        <v/>
      </c>
      <c r="L329" s="209" t="str">
        <f>IFERROR(VLOOKUP($I329,'Institution Evaluation'!$A$55:$F$345,4,0),IFERROR(VLOOKUP($I329,'Privacy Analyst Evaluation'!$A$46:$F$120,4,0),""))&amp;""</f>
        <v/>
      </c>
      <c r="M329" s="209" t="str">
        <f>IFERROR(VLOOKUP($I329,'Institution Evaluation'!$A$55:$F$345,6,0),IFERROR(VLOOKUP($I329,'Privacy Analyst Evaluation'!$A$46:$F$120,6,0),""))&amp;""</f>
        <v/>
      </c>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c r="IQ329"/>
      <c r="IR329"/>
      <c r="IS329"/>
      <c r="IT329"/>
      <c r="IU329"/>
      <c r="IV329"/>
      <c r="IW329"/>
      <c r="IX329"/>
      <c r="IY329"/>
      <c r="IZ329"/>
      <c r="JA329"/>
      <c r="JB329"/>
      <c r="JC329"/>
      <c r="JD329"/>
      <c r="JE329"/>
      <c r="JF329"/>
      <c r="JG329"/>
      <c r="JH329"/>
      <c r="JI329"/>
      <c r="JJ329"/>
      <c r="JK329"/>
      <c r="JL329"/>
      <c r="JM329"/>
      <c r="JN329"/>
      <c r="JO329"/>
      <c r="JP329"/>
      <c r="JQ329"/>
      <c r="JR329"/>
      <c r="JS329"/>
      <c r="JT329"/>
      <c r="JU329"/>
      <c r="JV329"/>
      <c r="JW329"/>
      <c r="JX329"/>
      <c r="JY329"/>
      <c r="JZ329"/>
      <c r="KA329"/>
      <c r="KB329"/>
      <c r="KC329"/>
      <c r="KD329"/>
      <c r="KE329"/>
      <c r="KF329"/>
      <c r="KG329"/>
      <c r="KH329"/>
      <c r="KI329"/>
      <c r="KJ329"/>
      <c r="KK329"/>
      <c r="KL329"/>
      <c r="KM329"/>
      <c r="KN329"/>
      <c r="KO329"/>
      <c r="KP329"/>
      <c r="KQ329"/>
      <c r="KR329"/>
      <c r="KS329"/>
      <c r="KT329"/>
      <c r="KU329"/>
      <c r="KV329"/>
      <c r="KW329"/>
      <c r="KX329"/>
      <c r="KY329"/>
      <c r="KZ329"/>
      <c r="LA329"/>
      <c r="LB329"/>
      <c r="LC329"/>
      <c r="LD329"/>
      <c r="LE329"/>
      <c r="LF329"/>
      <c r="LG329"/>
      <c r="LH329"/>
      <c r="LI329"/>
      <c r="LJ329"/>
      <c r="LK329"/>
      <c r="LL329"/>
      <c r="LM329"/>
      <c r="LN329"/>
      <c r="LO329"/>
      <c r="LP329"/>
      <c r="LQ329"/>
      <c r="LR329"/>
      <c r="LS329"/>
      <c r="LT329"/>
      <c r="LU329"/>
      <c r="LV329"/>
      <c r="LW329"/>
      <c r="LX329"/>
      <c r="LY329"/>
      <c r="LZ329"/>
    </row>
    <row r="330" spans="1:338" x14ac:dyDescent="0.3">
      <c r="A330" s="209" t="str">
        <f>IFERROR(IF($A329+1&gt;'(backend scoring)'!$T$335,"",$A329+1),"")</f>
        <v/>
      </c>
      <c r="B330" s="209" t="str">
        <f>_xlfn.XLOOKUP($A330,'(backend scoring)'!$V$2:$V$333,'(backend scoring)'!$A$2:$A$333,"")</f>
        <v/>
      </c>
      <c r="C330" s="209" t="str">
        <f>IFERROR(VLOOKUP($B330,'Institution Evaluation'!$A$55:$F$345,2,0),IFERROR(VLOOKUP($B330,'Privacy Analyst Evaluation'!$A$46:$F$120,2,0),""))&amp;""</f>
        <v/>
      </c>
      <c r="D330" s="209" t="str">
        <f>IFERROR(VLOOKUP($B330,'Institution Evaluation'!$A$55:$F$345,3,0),IFERROR(VLOOKUP($B330,'Privacy Analyst Evaluation'!$A$46:$F$120,3,0),""))&amp;""</f>
        <v/>
      </c>
      <c r="E330" s="209" t="str">
        <f>IFERROR(VLOOKUP($B330,'Institution Evaluation'!$A$55:$F$345,4,0),IFERROR(VLOOKUP($B330,'Privacy Analyst Evaluation'!$A$46:$F$120,4,0),""))&amp;""</f>
        <v/>
      </c>
      <c r="F330" s="209" t="str">
        <f>IFERROR(VLOOKUP($B330,'Institution Evaluation'!$A$55:$F$345,6,0),IFERROR(VLOOKUP($B330,'Privacy Analyst Evaluation'!$A$46:$F$120,6,0),""))&amp;""</f>
        <v/>
      </c>
      <c r="G330" s="210"/>
      <c r="H330" s="209" t="str">
        <f>IFERROR(IF($H329+1&gt;'(backend scoring)'!$Q$335,"",$H329+1),"")</f>
        <v/>
      </c>
      <c r="I330" s="209" t="str">
        <f>_xlfn.XLOOKUP($H330,'(backend scoring)'!$S$2:$S$333,'(backend scoring)'!$A$2:$A$333,"")</f>
        <v/>
      </c>
      <c r="J330" s="209" t="str">
        <f>IFERROR(VLOOKUP($I330,'Institution Evaluation'!$A$55:$F$345,2,0),IFERROR(VLOOKUP($I330,'Privacy Analyst Evaluation'!$A$46:$F$120,2,0),""))</f>
        <v/>
      </c>
      <c r="K330" s="209" t="str">
        <f>IFERROR(VLOOKUP($I330,'Institution Evaluation'!$A$55:$F$345,3,0),IFERROR(VLOOKUP($I330,'Privacy Analyst Evaluation'!$A$46:$F$120,3,0),""))&amp;""</f>
        <v/>
      </c>
      <c r="L330" s="209" t="str">
        <f>IFERROR(VLOOKUP($I330,'Institution Evaluation'!$A$55:$F$345,4,0),IFERROR(VLOOKUP($I330,'Privacy Analyst Evaluation'!$A$46:$F$120,4,0),""))&amp;""</f>
        <v/>
      </c>
      <c r="M330" s="209" t="str">
        <f>IFERROR(VLOOKUP($I330,'Institution Evaluation'!$A$55:$F$345,6,0),IFERROR(VLOOKUP($I330,'Privacy Analyst Evaluation'!$A$46:$F$120,6,0),""))&amp;""</f>
        <v/>
      </c>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c r="HM330"/>
      <c r="HN330"/>
      <c r="HO330"/>
      <c r="HP330"/>
      <c r="HQ330"/>
      <c r="HR330"/>
      <c r="HS330"/>
      <c r="HT330"/>
      <c r="HU330"/>
      <c r="HV330"/>
      <c r="HW330"/>
      <c r="HX330"/>
      <c r="HY330"/>
      <c r="HZ330"/>
      <c r="IA330"/>
      <c r="IB330"/>
      <c r="IC330"/>
      <c r="ID330"/>
      <c r="IE330"/>
      <c r="IF330"/>
      <c r="IG330"/>
      <c r="IH330"/>
      <c r="II330"/>
      <c r="IJ330"/>
      <c r="IK330"/>
      <c r="IL330"/>
      <c r="IM330"/>
      <c r="IN330"/>
      <c r="IO330"/>
      <c r="IP330"/>
      <c r="IQ330"/>
      <c r="IR330"/>
      <c r="IS330"/>
      <c r="IT330"/>
      <c r="IU330"/>
      <c r="IV330"/>
      <c r="IW330"/>
      <c r="IX330"/>
      <c r="IY330"/>
      <c r="IZ330"/>
      <c r="JA330"/>
      <c r="JB330"/>
      <c r="JC330"/>
      <c r="JD330"/>
      <c r="JE330"/>
      <c r="JF330"/>
      <c r="JG330"/>
      <c r="JH330"/>
      <c r="JI330"/>
      <c r="JJ330"/>
      <c r="JK330"/>
      <c r="JL330"/>
      <c r="JM330"/>
      <c r="JN330"/>
      <c r="JO330"/>
      <c r="JP330"/>
      <c r="JQ330"/>
      <c r="JR330"/>
      <c r="JS330"/>
      <c r="JT330"/>
      <c r="JU330"/>
      <c r="JV330"/>
      <c r="JW330"/>
      <c r="JX330"/>
      <c r="JY330"/>
      <c r="JZ330"/>
      <c r="KA330"/>
      <c r="KB330"/>
      <c r="KC330"/>
      <c r="KD330"/>
      <c r="KE330"/>
      <c r="KF330"/>
      <c r="KG330"/>
      <c r="KH330"/>
      <c r="KI330"/>
      <c r="KJ330"/>
      <c r="KK330"/>
      <c r="KL330"/>
      <c r="KM330"/>
      <c r="KN330"/>
      <c r="KO330"/>
      <c r="KP330"/>
      <c r="KQ330"/>
      <c r="KR330"/>
      <c r="KS330"/>
      <c r="KT330"/>
      <c r="KU330"/>
      <c r="KV330"/>
      <c r="KW330"/>
      <c r="KX330"/>
      <c r="KY330"/>
      <c r="KZ330"/>
      <c r="LA330"/>
      <c r="LB330"/>
      <c r="LC330"/>
      <c r="LD330"/>
      <c r="LE330"/>
      <c r="LF330"/>
      <c r="LG330"/>
      <c r="LH330"/>
      <c r="LI330"/>
      <c r="LJ330"/>
      <c r="LK330"/>
      <c r="LL330"/>
      <c r="LM330"/>
      <c r="LN330"/>
      <c r="LO330"/>
      <c r="LP330"/>
      <c r="LQ330"/>
      <c r="LR330"/>
      <c r="LS330"/>
      <c r="LT330"/>
      <c r="LU330"/>
      <c r="LV330"/>
      <c r="LW330"/>
      <c r="LX330"/>
      <c r="LY330"/>
      <c r="LZ330"/>
    </row>
    <row r="331" spans="1:338" x14ac:dyDescent="0.3">
      <c r="A331" s="209" t="str">
        <f>IFERROR(IF($A330+1&gt;'(backend scoring)'!$T$335,"",$A330+1),"")</f>
        <v/>
      </c>
      <c r="B331" s="209" t="str">
        <f>_xlfn.XLOOKUP($A331,'(backend scoring)'!$V$2:$V$333,'(backend scoring)'!$A$2:$A$333,"")</f>
        <v/>
      </c>
      <c r="C331" s="209" t="str">
        <f>IFERROR(VLOOKUP($B331,'Institution Evaluation'!$A$55:$F$345,2,0),IFERROR(VLOOKUP($B331,'Privacy Analyst Evaluation'!$A$46:$F$120,2,0),""))&amp;""</f>
        <v/>
      </c>
      <c r="D331" s="209" t="str">
        <f>IFERROR(VLOOKUP($B331,'Institution Evaluation'!$A$55:$F$345,3,0),IFERROR(VLOOKUP($B331,'Privacy Analyst Evaluation'!$A$46:$F$120,3,0),""))&amp;""</f>
        <v/>
      </c>
      <c r="E331" s="209" t="str">
        <f>IFERROR(VLOOKUP($B331,'Institution Evaluation'!$A$55:$F$345,4,0),IFERROR(VLOOKUP($B331,'Privacy Analyst Evaluation'!$A$46:$F$120,4,0),""))&amp;""</f>
        <v/>
      </c>
      <c r="F331" s="209" t="str">
        <f>IFERROR(VLOOKUP($B331,'Institution Evaluation'!$A$55:$F$345,6,0),IFERROR(VLOOKUP($B331,'Privacy Analyst Evaluation'!$A$46:$F$120,6,0),""))&amp;""</f>
        <v/>
      </c>
      <c r="G331" s="210"/>
      <c r="H331" s="209" t="str">
        <f>IFERROR(IF($H330+1&gt;'(backend scoring)'!$Q$335,"",$H330+1),"")</f>
        <v/>
      </c>
      <c r="I331" s="209" t="str">
        <f>_xlfn.XLOOKUP($H331,'(backend scoring)'!$S$2:$S$333,'(backend scoring)'!$A$2:$A$333,"")</f>
        <v/>
      </c>
      <c r="J331" s="209" t="str">
        <f>IFERROR(VLOOKUP($I331,'Institution Evaluation'!$A$55:$F$345,2,0),IFERROR(VLOOKUP($I331,'Privacy Analyst Evaluation'!$A$46:$F$120,2,0),""))</f>
        <v/>
      </c>
      <c r="K331" s="209" t="str">
        <f>IFERROR(VLOOKUP($I331,'Institution Evaluation'!$A$55:$F$345,3,0),IFERROR(VLOOKUP($I331,'Privacy Analyst Evaluation'!$A$46:$F$120,3,0),""))&amp;""</f>
        <v/>
      </c>
      <c r="L331" s="209" t="str">
        <f>IFERROR(VLOOKUP($I331,'Institution Evaluation'!$A$55:$F$345,4,0),IFERROR(VLOOKUP($I331,'Privacy Analyst Evaluation'!$A$46:$F$120,4,0),""))&amp;""</f>
        <v/>
      </c>
      <c r="M331" s="209" t="str">
        <f>IFERROR(VLOOKUP($I331,'Institution Evaluation'!$A$55:$F$345,6,0),IFERROR(VLOOKUP($I331,'Privacy Analyst Evaluation'!$A$46:$F$120,6,0),""))&amp;""</f>
        <v/>
      </c>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c r="HM331"/>
      <c r="HN331"/>
      <c r="HO331"/>
      <c r="HP331"/>
      <c r="HQ331"/>
      <c r="HR331"/>
      <c r="HS331"/>
      <c r="HT331"/>
      <c r="HU331"/>
      <c r="HV331"/>
      <c r="HW331"/>
      <c r="HX331"/>
      <c r="HY331"/>
      <c r="HZ331"/>
      <c r="IA331"/>
      <c r="IB331"/>
      <c r="IC331"/>
      <c r="ID331"/>
      <c r="IE331"/>
      <c r="IF331"/>
      <c r="IG331"/>
      <c r="IH331"/>
      <c r="II331"/>
      <c r="IJ331"/>
      <c r="IK331"/>
      <c r="IL331"/>
      <c r="IM331"/>
      <c r="IN331"/>
      <c r="IO331"/>
      <c r="IP331"/>
      <c r="IQ331"/>
      <c r="IR331"/>
      <c r="IS331"/>
      <c r="IT331"/>
      <c r="IU331"/>
      <c r="IV331"/>
      <c r="IW331"/>
      <c r="IX331"/>
      <c r="IY331"/>
      <c r="IZ331"/>
      <c r="JA331"/>
      <c r="JB331"/>
      <c r="JC331"/>
      <c r="JD331"/>
      <c r="JE331"/>
      <c r="JF331"/>
      <c r="JG331"/>
      <c r="JH331"/>
      <c r="JI331"/>
      <c r="JJ331"/>
      <c r="JK331"/>
      <c r="JL331"/>
      <c r="JM331"/>
      <c r="JN331"/>
      <c r="JO331"/>
      <c r="JP331"/>
      <c r="JQ331"/>
      <c r="JR331"/>
      <c r="JS331"/>
      <c r="JT331"/>
      <c r="JU331"/>
      <c r="JV331"/>
      <c r="JW331"/>
      <c r="JX331"/>
      <c r="JY331"/>
      <c r="JZ331"/>
      <c r="KA331"/>
      <c r="KB331"/>
      <c r="KC331"/>
      <c r="KD331"/>
      <c r="KE331"/>
      <c r="KF331"/>
      <c r="KG331"/>
      <c r="KH331"/>
      <c r="KI331"/>
      <c r="KJ331"/>
      <c r="KK331"/>
      <c r="KL331"/>
      <c r="KM331"/>
      <c r="KN331"/>
      <c r="KO331"/>
      <c r="KP331"/>
      <c r="KQ331"/>
      <c r="KR331"/>
      <c r="KS331"/>
      <c r="KT331"/>
      <c r="KU331"/>
      <c r="KV331"/>
      <c r="KW331"/>
      <c r="KX331"/>
      <c r="KY331"/>
      <c r="KZ331"/>
      <c r="LA331"/>
      <c r="LB331"/>
      <c r="LC331"/>
      <c r="LD331"/>
      <c r="LE331"/>
      <c r="LF331"/>
      <c r="LG331"/>
      <c r="LH331"/>
      <c r="LI331"/>
      <c r="LJ331"/>
      <c r="LK331"/>
      <c r="LL331"/>
      <c r="LM331"/>
      <c r="LN331"/>
      <c r="LO331"/>
      <c r="LP331"/>
      <c r="LQ331"/>
      <c r="LR331"/>
      <c r="LS331"/>
      <c r="LT331"/>
      <c r="LU331"/>
      <c r="LV331"/>
      <c r="LW331"/>
      <c r="LX331"/>
      <c r="LY331"/>
      <c r="LZ331"/>
    </row>
    <row r="332" spans="1:338" x14ac:dyDescent="0.3">
      <c r="A332" s="209" t="str">
        <f>IFERROR(IF($A331+1&gt;'(backend scoring)'!$T$335,"",$A331+1),"")</f>
        <v/>
      </c>
      <c r="B332" s="209" t="str">
        <f>_xlfn.XLOOKUP($A332,'(backend scoring)'!$V$2:$V$333,'(backend scoring)'!$A$2:$A$333,"")</f>
        <v/>
      </c>
      <c r="C332" s="209" t="str">
        <f>IFERROR(VLOOKUP($B332,'Institution Evaluation'!$A$55:$F$345,2,0),IFERROR(VLOOKUP($B332,'Privacy Analyst Evaluation'!$A$46:$F$120,2,0),""))&amp;""</f>
        <v/>
      </c>
      <c r="D332" s="209" t="str">
        <f>IFERROR(VLOOKUP($B332,'Institution Evaluation'!$A$55:$F$345,3,0),IFERROR(VLOOKUP($B332,'Privacy Analyst Evaluation'!$A$46:$F$120,3,0),""))&amp;""</f>
        <v/>
      </c>
      <c r="E332" s="209" t="str">
        <f>IFERROR(VLOOKUP($B332,'Institution Evaluation'!$A$55:$F$345,4,0),IFERROR(VLOOKUP($B332,'Privacy Analyst Evaluation'!$A$46:$F$120,4,0),""))&amp;""</f>
        <v/>
      </c>
      <c r="F332" s="209" t="str">
        <f>IFERROR(VLOOKUP($B332,'Institution Evaluation'!$A$55:$F$345,6,0),IFERROR(VLOOKUP($B332,'Privacy Analyst Evaluation'!$A$46:$F$120,6,0),""))&amp;""</f>
        <v/>
      </c>
      <c r="G332" s="210"/>
      <c r="H332" s="209" t="str">
        <f>IFERROR(IF($H331+1&gt;'(backend scoring)'!$Q$335,"",$H331+1),"")</f>
        <v/>
      </c>
      <c r="I332" s="209" t="str">
        <f>_xlfn.XLOOKUP($H332,'(backend scoring)'!$S$2:$S$333,'(backend scoring)'!$A$2:$A$333,"")</f>
        <v/>
      </c>
      <c r="J332" s="209" t="str">
        <f>IFERROR(VLOOKUP($I332,'Institution Evaluation'!$A$55:$F$345,2,0),IFERROR(VLOOKUP($I332,'Privacy Analyst Evaluation'!$A$46:$F$120,2,0),""))</f>
        <v/>
      </c>
      <c r="K332" s="209" t="str">
        <f>IFERROR(VLOOKUP($I332,'Institution Evaluation'!$A$55:$F$345,3,0),IFERROR(VLOOKUP($I332,'Privacy Analyst Evaluation'!$A$46:$F$120,3,0),""))&amp;""</f>
        <v/>
      </c>
      <c r="L332" s="209" t="str">
        <f>IFERROR(VLOOKUP($I332,'Institution Evaluation'!$A$55:$F$345,4,0),IFERROR(VLOOKUP($I332,'Privacy Analyst Evaluation'!$A$46:$F$120,4,0),""))&amp;""</f>
        <v/>
      </c>
      <c r="M332" s="209" t="str">
        <f>IFERROR(VLOOKUP($I332,'Institution Evaluation'!$A$55:$F$345,6,0),IFERROR(VLOOKUP($I332,'Privacy Analyst Evaluation'!$A$46:$F$120,6,0),""))&amp;""</f>
        <v/>
      </c>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c r="HM332"/>
      <c r="HN332"/>
      <c r="HO332"/>
      <c r="HP332"/>
      <c r="HQ332"/>
      <c r="HR332"/>
      <c r="HS332"/>
      <c r="HT332"/>
      <c r="HU332"/>
      <c r="HV332"/>
      <c r="HW332"/>
      <c r="HX332"/>
      <c r="HY332"/>
      <c r="HZ332"/>
      <c r="IA332"/>
      <c r="IB332"/>
      <c r="IC332"/>
      <c r="ID332"/>
      <c r="IE332"/>
      <c r="IF332"/>
      <c r="IG332"/>
      <c r="IH332"/>
      <c r="II332"/>
      <c r="IJ332"/>
      <c r="IK332"/>
      <c r="IL332"/>
      <c r="IM332"/>
      <c r="IN332"/>
      <c r="IO332"/>
      <c r="IP332"/>
      <c r="IQ332"/>
      <c r="IR332"/>
      <c r="IS332"/>
      <c r="IT332"/>
      <c r="IU332"/>
      <c r="IV332"/>
      <c r="IW332"/>
      <c r="IX332"/>
      <c r="IY332"/>
      <c r="IZ332"/>
      <c r="JA332"/>
      <c r="JB332"/>
      <c r="JC332"/>
      <c r="JD332"/>
      <c r="JE332"/>
      <c r="JF332"/>
      <c r="JG332"/>
      <c r="JH332"/>
      <c r="JI332"/>
      <c r="JJ332"/>
      <c r="JK332"/>
      <c r="JL332"/>
      <c r="JM332"/>
      <c r="JN332"/>
      <c r="JO332"/>
      <c r="JP332"/>
      <c r="JQ332"/>
      <c r="JR332"/>
      <c r="JS332"/>
      <c r="JT332"/>
      <c r="JU332"/>
      <c r="JV332"/>
      <c r="JW332"/>
      <c r="JX332"/>
      <c r="JY332"/>
      <c r="JZ332"/>
      <c r="KA332"/>
      <c r="KB332"/>
      <c r="KC332"/>
      <c r="KD332"/>
      <c r="KE332"/>
      <c r="KF332"/>
      <c r="KG332"/>
      <c r="KH332"/>
      <c r="KI332"/>
      <c r="KJ332"/>
      <c r="KK332"/>
      <c r="KL332"/>
      <c r="KM332"/>
      <c r="KN332"/>
      <c r="KO332"/>
      <c r="KP332"/>
      <c r="KQ332"/>
      <c r="KR332"/>
      <c r="KS332"/>
      <c r="KT332"/>
      <c r="KU332"/>
      <c r="KV332"/>
      <c r="KW332"/>
      <c r="KX332"/>
      <c r="KY332"/>
      <c r="KZ332"/>
      <c r="LA332"/>
      <c r="LB332"/>
      <c r="LC332"/>
      <c r="LD332"/>
      <c r="LE332"/>
      <c r="LF332"/>
      <c r="LG332"/>
      <c r="LH332"/>
      <c r="LI332"/>
      <c r="LJ332"/>
      <c r="LK332"/>
      <c r="LL332"/>
      <c r="LM332"/>
      <c r="LN332"/>
      <c r="LO332"/>
      <c r="LP332"/>
      <c r="LQ332"/>
      <c r="LR332"/>
      <c r="LS332"/>
      <c r="LT332"/>
      <c r="LU332"/>
      <c r="LV332"/>
      <c r="LW332"/>
      <c r="LX332"/>
      <c r="LY332"/>
      <c r="LZ332"/>
    </row>
    <row r="333" spans="1:338" x14ac:dyDescent="0.3">
      <c r="A333" s="209" t="str">
        <f>IFERROR(IF($A332+1&gt;'(backend scoring)'!$T$335,"",$A332+1),"")</f>
        <v/>
      </c>
      <c r="B333" s="209" t="str">
        <f>_xlfn.XLOOKUP($A333,'(backend scoring)'!$V$2:$V$333,'(backend scoring)'!$A$2:$A$333,"")</f>
        <v/>
      </c>
      <c r="C333" s="209" t="str">
        <f>IFERROR(VLOOKUP($B333,'Institution Evaluation'!$A$55:$F$345,2,0),IFERROR(VLOOKUP($B333,'Privacy Analyst Evaluation'!$A$46:$F$120,2,0),""))&amp;""</f>
        <v/>
      </c>
      <c r="D333" s="209" t="str">
        <f>IFERROR(VLOOKUP($B333,'Institution Evaluation'!$A$55:$F$345,3,0),IFERROR(VLOOKUP($B333,'Privacy Analyst Evaluation'!$A$46:$F$120,3,0),""))&amp;""</f>
        <v/>
      </c>
      <c r="E333" s="209" t="str">
        <f>IFERROR(VLOOKUP($B333,'Institution Evaluation'!$A$55:$F$345,4,0),IFERROR(VLOOKUP($B333,'Privacy Analyst Evaluation'!$A$46:$F$120,4,0),""))&amp;""</f>
        <v/>
      </c>
      <c r="F333" s="209" t="str">
        <f>IFERROR(VLOOKUP($B333,'Institution Evaluation'!$A$55:$F$345,6,0),IFERROR(VLOOKUP($B333,'Privacy Analyst Evaluation'!$A$46:$F$120,6,0),""))&amp;""</f>
        <v/>
      </c>
      <c r="G333" s="210"/>
      <c r="H333" s="209" t="str">
        <f>IFERROR(IF($H332+1&gt;'(backend scoring)'!$Q$335,"",$H332+1),"")</f>
        <v/>
      </c>
      <c r="I333" s="209" t="str">
        <f>_xlfn.XLOOKUP($H333,'(backend scoring)'!$S$2:$S$333,'(backend scoring)'!$A$2:$A$333,"")</f>
        <v/>
      </c>
      <c r="J333" s="209" t="str">
        <f>IFERROR(VLOOKUP($I333,'Institution Evaluation'!$A$55:$F$345,2,0),IFERROR(VLOOKUP($I333,'Privacy Analyst Evaluation'!$A$46:$F$120,2,0),""))</f>
        <v/>
      </c>
      <c r="K333" s="209" t="str">
        <f>IFERROR(VLOOKUP($I333,'Institution Evaluation'!$A$55:$F$345,3,0),IFERROR(VLOOKUP($I333,'Privacy Analyst Evaluation'!$A$46:$F$120,3,0),""))&amp;""</f>
        <v/>
      </c>
      <c r="L333" s="209" t="str">
        <f>IFERROR(VLOOKUP($I333,'Institution Evaluation'!$A$55:$F$345,4,0),IFERROR(VLOOKUP($I333,'Privacy Analyst Evaluation'!$A$46:$F$120,4,0),""))&amp;""</f>
        <v/>
      </c>
      <c r="M333" s="209" t="str">
        <f>IFERROR(VLOOKUP($I333,'Institution Evaluation'!$A$55:$F$345,6,0),IFERROR(VLOOKUP($I333,'Privacy Analyst Evaluation'!$A$46:$F$120,6,0),""))&amp;""</f>
        <v/>
      </c>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c r="HM333"/>
      <c r="HN333"/>
      <c r="HO333"/>
      <c r="HP333"/>
      <c r="HQ333"/>
      <c r="HR333"/>
      <c r="HS333"/>
      <c r="HT333"/>
      <c r="HU333"/>
      <c r="HV333"/>
      <c r="HW333"/>
      <c r="HX333"/>
      <c r="HY333"/>
      <c r="HZ333"/>
      <c r="IA333"/>
      <c r="IB333"/>
      <c r="IC333"/>
      <c r="ID333"/>
      <c r="IE333"/>
      <c r="IF333"/>
      <c r="IG333"/>
      <c r="IH333"/>
      <c r="II333"/>
      <c r="IJ333"/>
      <c r="IK333"/>
      <c r="IL333"/>
      <c r="IM333"/>
      <c r="IN333"/>
      <c r="IO333"/>
      <c r="IP333"/>
      <c r="IQ333"/>
      <c r="IR333"/>
      <c r="IS333"/>
      <c r="IT333"/>
      <c r="IU333"/>
      <c r="IV333"/>
      <c r="IW333"/>
      <c r="IX333"/>
      <c r="IY333"/>
      <c r="IZ333"/>
      <c r="JA333"/>
      <c r="JB333"/>
      <c r="JC333"/>
      <c r="JD333"/>
      <c r="JE333"/>
      <c r="JF333"/>
      <c r="JG333"/>
      <c r="JH333"/>
      <c r="JI333"/>
      <c r="JJ333"/>
      <c r="JK333"/>
      <c r="JL333"/>
      <c r="JM333"/>
      <c r="JN333"/>
      <c r="JO333"/>
      <c r="JP333"/>
      <c r="JQ333"/>
      <c r="JR333"/>
      <c r="JS333"/>
      <c r="JT333"/>
      <c r="JU333"/>
      <c r="JV333"/>
      <c r="JW333"/>
      <c r="JX333"/>
      <c r="JY333"/>
      <c r="JZ333"/>
      <c r="KA333"/>
      <c r="KB333"/>
      <c r="KC333"/>
      <c r="KD333"/>
      <c r="KE333"/>
      <c r="KF333"/>
      <c r="KG333"/>
      <c r="KH333"/>
      <c r="KI333"/>
      <c r="KJ333"/>
      <c r="KK333"/>
      <c r="KL333"/>
      <c r="KM333"/>
      <c r="KN333"/>
      <c r="KO333"/>
      <c r="KP333"/>
      <c r="KQ333"/>
      <c r="KR333"/>
      <c r="KS333"/>
      <c r="KT333"/>
      <c r="KU333"/>
      <c r="KV333"/>
      <c r="KW333"/>
      <c r="KX333"/>
      <c r="KY333"/>
      <c r="KZ333"/>
      <c r="LA333"/>
      <c r="LB333"/>
      <c r="LC333"/>
      <c r="LD333"/>
      <c r="LE333"/>
      <c r="LF333"/>
      <c r="LG333"/>
      <c r="LH333"/>
      <c r="LI333"/>
      <c r="LJ333"/>
      <c r="LK333"/>
      <c r="LL333"/>
      <c r="LM333"/>
      <c r="LN333"/>
      <c r="LO333"/>
      <c r="LP333"/>
      <c r="LQ333"/>
      <c r="LR333"/>
      <c r="LS333"/>
      <c r="LT333"/>
      <c r="LU333"/>
      <c r="LV333"/>
      <c r="LW333"/>
      <c r="LX333"/>
      <c r="LY333"/>
      <c r="LZ333"/>
    </row>
    <row r="334" spans="1:338" x14ac:dyDescent="0.3">
      <c r="A334" s="209" t="str">
        <f>IFERROR(IF($A333+1&gt;'(backend scoring)'!$T$335,"",$A333+1),"")</f>
        <v/>
      </c>
      <c r="B334" s="209" t="str">
        <f>_xlfn.XLOOKUP($A334,'(backend scoring)'!$V$2:$V$333,'(backend scoring)'!$A$2:$A$333,"")</f>
        <v/>
      </c>
      <c r="C334" s="209" t="str">
        <f>IFERROR(VLOOKUP($B334,'Institution Evaluation'!$A$55:$F$345,2,0),IFERROR(VLOOKUP($B334,'Privacy Analyst Evaluation'!$A$46:$F$120,2,0),""))&amp;""</f>
        <v/>
      </c>
      <c r="D334" s="209" t="str">
        <f>IFERROR(VLOOKUP($B334,'Institution Evaluation'!$A$55:$F$345,3,0),IFERROR(VLOOKUP($B334,'Privacy Analyst Evaluation'!$A$46:$F$120,3,0),""))&amp;""</f>
        <v/>
      </c>
      <c r="E334" s="209" t="str">
        <f>IFERROR(VLOOKUP($B334,'Institution Evaluation'!$A$55:$F$345,4,0),IFERROR(VLOOKUP($B334,'Privacy Analyst Evaluation'!$A$46:$F$120,4,0),""))&amp;""</f>
        <v/>
      </c>
      <c r="F334" s="209" t="str">
        <f>IFERROR(VLOOKUP($B334,'Institution Evaluation'!$A$55:$F$345,6,0),IFERROR(VLOOKUP($B334,'Privacy Analyst Evaluation'!$A$46:$F$120,6,0),""))&amp;""</f>
        <v/>
      </c>
      <c r="G334" s="210"/>
      <c r="H334" s="209" t="str">
        <f>IFERROR(IF($H333+1&gt;'(backend scoring)'!$Q$335,"",$H333+1),"")</f>
        <v/>
      </c>
      <c r="I334" s="209" t="str">
        <f>_xlfn.XLOOKUP($H334,'(backend scoring)'!$S$2:$S$333,'(backend scoring)'!$A$2:$A$333,"")</f>
        <v/>
      </c>
      <c r="J334" s="209" t="str">
        <f>IFERROR(VLOOKUP($I334,'Institution Evaluation'!$A$55:$F$345,2,0),IFERROR(VLOOKUP($I334,'Privacy Analyst Evaluation'!$A$46:$F$120,2,0),""))</f>
        <v/>
      </c>
      <c r="K334" s="209" t="str">
        <f>IFERROR(VLOOKUP($I334,'Institution Evaluation'!$A$55:$F$345,3,0),IFERROR(VLOOKUP($I334,'Privacy Analyst Evaluation'!$A$46:$F$120,3,0),""))&amp;""</f>
        <v/>
      </c>
      <c r="L334" s="209" t="str">
        <f>IFERROR(VLOOKUP($I334,'Institution Evaluation'!$A$55:$F$345,4,0),IFERROR(VLOOKUP($I334,'Privacy Analyst Evaluation'!$A$46:$F$120,4,0),""))&amp;""</f>
        <v/>
      </c>
      <c r="M334" s="209" t="str">
        <f>IFERROR(VLOOKUP($I334,'Institution Evaluation'!$A$55:$F$345,6,0),IFERROR(VLOOKUP($I334,'Privacy Analyst Evaluation'!$A$46:$F$120,6,0),""))&amp;""</f>
        <v/>
      </c>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c r="HM334"/>
      <c r="HN334"/>
      <c r="HO334"/>
      <c r="HP334"/>
      <c r="HQ334"/>
      <c r="HR334"/>
      <c r="HS334"/>
      <c r="HT334"/>
      <c r="HU334"/>
      <c r="HV334"/>
      <c r="HW334"/>
      <c r="HX334"/>
      <c r="HY334"/>
      <c r="HZ334"/>
      <c r="IA334"/>
      <c r="IB334"/>
      <c r="IC334"/>
      <c r="ID334"/>
      <c r="IE334"/>
      <c r="IF334"/>
      <c r="IG334"/>
      <c r="IH334"/>
      <c r="II334"/>
      <c r="IJ334"/>
      <c r="IK334"/>
      <c r="IL334"/>
      <c r="IM334"/>
      <c r="IN334"/>
      <c r="IO334"/>
      <c r="IP334"/>
      <c r="IQ334"/>
      <c r="IR334"/>
      <c r="IS334"/>
      <c r="IT334"/>
      <c r="IU334"/>
      <c r="IV334"/>
      <c r="IW334"/>
      <c r="IX334"/>
      <c r="IY334"/>
      <c r="IZ334"/>
      <c r="JA334"/>
      <c r="JB334"/>
      <c r="JC334"/>
      <c r="JD334"/>
      <c r="JE334"/>
      <c r="JF334"/>
      <c r="JG334"/>
      <c r="JH334"/>
      <c r="JI334"/>
      <c r="JJ334"/>
      <c r="JK334"/>
      <c r="JL334"/>
      <c r="JM334"/>
      <c r="JN334"/>
      <c r="JO334"/>
      <c r="JP334"/>
      <c r="JQ334"/>
      <c r="JR334"/>
      <c r="JS334"/>
      <c r="JT334"/>
      <c r="JU334"/>
      <c r="JV334"/>
      <c r="JW334"/>
      <c r="JX334"/>
      <c r="JY334"/>
      <c r="JZ334"/>
      <c r="KA334"/>
      <c r="KB334"/>
      <c r="KC334"/>
      <c r="KD334"/>
      <c r="KE334"/>
      <c r="KF334"/>
      <c r="KG334"/>
      <c r="KH334"/>
      <c r="KI334"/>
      <c r="KJ334"/>
      <c r="KK334"/>
      <c r="KL334"/>
      <c r="KM334"/>
      <c r="KN334"/>
      <c r="KO334"/>
      <c r="KP334"/>
      <c r="KQ334"/>
      <c r="KR334"/>
      <c r="KS334"/>
      <c r="KT334"/>
      <c r="KU334"/>
      <c r="KV334"/>
      <c r="KW334"/>
      <c r="KX334"/>
      <c r="KY334"/>
      <c r="KZ334"/>
      <c r="LA334"/>
      <c r="LB334"/>
      <c r="LC334"/>
      <c r="LD334"/>
      <c r="LE334"/>
      <c r="LF334"/>
      <c r="LG334"/>
      <c r="LH334"/>
      <c r="LI334"/>
      <c r="LJ334"/>
      <c r="LK334"/>
      <c r="LL334"/>
      <c r="LM334"/>
      <c r="LN334"/>
      <c r="LO334"/>
      <c r="LP334"/>
      <c r="LQ334"/>
      <c r="LR334"/>
      <c r="LS334"/>
      <c r="LT334"/>
      <c r="LU334"/>
      <c r="LV334"/>
      <c r="LW334"/>
      <c r="LX334"/>
      <c r="LY334"/>
      <c r="LZ334"/>
    </row>
    <row r="335" spans="1:338" x14ac:dyDescent="0.3">
      <c r="A335" s="209" t="str">
        <f>IFERROR(IF($A334+1&gt;'(backend scoring)'!$T$335,"",$A334+1),"")</f>
        <v/>
      </c>
      <c r="B335" s="209" t="str">
        <f>_xlfn.XLOOKUP($A335,'(backend scoring)'!$V$2:$V$333,'(backend scoring)'!$A$2:$A$333,"")</f>
        <v/>
      </c>
      <c r="C335" s="209" t="str">
        <f>IFERROR(VLOOKUP($B335,'Institution Evaluation'!$A$55:$F$345,2,0),IFERROR(VLOOKUP($B335,'Privacy Analyst Evaluation'!$A$46:$F$120,2,0),""))&amp;""</f>
        <v/>
      </c>
      <c r="D335" s="209" t="str">
        <f>IFERROR(VLOOKUP($B335,'Institution Evaluation'!$A$55:$F$345,3,0),IFERROR(VLOOKUP($B335,'Privacy Analyst Evaluation'!$A$46:$F$120,3,0),""))&amp;""</f>
        <v/>
      </c>
      <c r="E335" s="209" t="str">
        <f>IFERROR(VLOOKUP($B335,'Institution Evaluation'!$A$55:$F$345,4,0),IFERROR(VLOOKUP($B335,'Privacy Analyst Evaluation'!$A$46:$F$120,4,0),""))&amp;""</f>
        <v/>
      </c>
      <c r="F335" s="209" t="str">
        <f>IFERROR(VLOOKUP($B335,'Institution Evaluation'!$A$55:$F$345,6,0),IFERROR(VLOOKUP($B335,'Privacy Analyst Evaluation'!$A$46:$F$120,6,0),""))&amp;""</f>
        <v/>
      </c>
      <c r="G335" s="210"/>
      <c r="H335" s="209" t="str">
        <f>IFERROR(IF($H334+1&gt;'(backend scoring)'!$Q$335,"",$H334+1),"")</f>
        <v/>
      </c>
      <c r="I335" s="209" t="str">
        <f>_xlfn.XLOOKUP($H335,'(backend scoring)'!$S$2:$S$333,'(backend scoring)'!$A$2:$A$333,"")</f>
        <v/>
      </c>
      <c r="J335" s="209" t="str">
        <f>IFERROR(VLOOKUP($I335,'Institution Evaluation'!$A$55:$F$345,2,0),IFERROR(VLOOKUP($I335,'Privacy Analyst Evaluation'!$A$46:$F$120,2,0),""))</f>
        <v/>
      </c>
      <c r="K335" s="209" t="str">
        <f>IFERROR(VLOOKUP($I335,'Institution Evaluation'!$A$55:$F$345,3,0),IFERROR(VLOOKUP($I335,'Privacy Analyst Evaluation'!$A$46:$F$120,3,0),""))&amp;""</f>
        <v/>
      </c>
      <c r="L335" s="209" t="str">
        <f>IFERROR(VLOOKUP($I335,'Institution Evaluation'!$A$55:$F$345,4,0),IFERROR(VLOOKUP($I335,'Privacy Analyst Evaluation'!$A$46:$F$120,4,0),""))&amp;""</f>
        <v/>
      </c>
      <c r="M335" s="209" t="str">
        <f>IFERROR(VLOOKUP($I335,'Institution Evaluation'!$A$55:$F$345,6,0),IFERROR(VLOOKUP($I335,'Privacy Analyst Evaluation'!$A$46:$F$120,6,0),""))&amp;""</f>
        <v/>
      </c>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c r="II335"/>
      <c r="IJ335"/>
      <c r="IK335"/>
      <c r="IL335"/>
      <c r="IM335"/>
      <c r="IN335"/>
      <c r="IO335"/>
      <c r="IP335"/>
      <c r="IQ335"/>
      <c r="IR335"/>
      <c r="IS335"/>
      <c r="IT335"/>
      <c r="IU335"/>
      <c r="IV335"/>
      <c r="IW335"/>
      <c r="IX335"/>
      <c r="IY335"/>
      <c r="IZ335"/>
      <c r="JA335"/>
      <c r="JB335"/>
      <c r="JC335"/>
      <c r="JD335"/>
      <c r="JE335"/>
      <c r="JF335"/>
      <c r="JG335"/>
      <c r="JH335"/>
      <c r="JI335"/>
      <c r="JJ335"/>
      <c r="JK335"/>
      <c r="JL335"/>
      <c r="JM335"/>
      <c r="JN335"/>
      <c r="JO335"/>
      <c r="JP335"/>
      <c r="JQ335"/>
      <c r="JR335"/>
      <c r="JS335"/>
      <c r="JT335"/>
      <c r="JU335"/>
      <c r="JV335"/>
      <c r="JW335"/>
      <c r="JX335"/>
      <c r="JY335"/>
      <c r="JZ335"/>
      <c r="KA335"/>
      <c r="KB335"/>
      <c r="KC335"/>
      <c r="KD335"/>
      <c r="KE335"/>
      <c r="KF335"/>
      <c r="KG335"/>
      <c r="KH335"/>
      <c r="KI335"/>
      <c r="KJ335"/>
      <c r="KK335"/>
      <c r="KL335"/>
      <c r="KM335"/>
      <c r="KN335"/>
      <c r="KO335"/>
      <c r="KP335"/>
      <c r="KQ335"/>
      <c r="KR335"/>
      <c r="KS335"/>
      <c r="KT335"/>
      <c r="KU335"/>
      <c r="KV335"/>
      <c r="KW335"/>
      <c r="KX335"/>
      <c r="KY335"/>
      <c r="KZ335"/>
      <c r="LA335"/>
      <c r="LB335"/>
      <c r="LC335"/>
      <c r="LD335"/>
      <c r="LE335"/>
      <c r="LF335"/>
      <c r="LG335"/>
      <c r="LH335"/>
      <c r="LI335"/>
      <c r="LJ335"/>
      <c r="LK335"/>
      <c r="LL335"/>
      <c r="LM335"/>
      <c r="LN335"/>
      <c r="LO335"/>
      <c r="LP335"/>
      <c r="LQ335"/>
      <c r="LR335"/>
      <c r="LS335"/>
      <c r="LT335"/>
      <c r="LU335"/>
      <c r="LV335"/>
      <c r="LW335"/>
      <c r="LX335"/>
      <c r="LY335"/>
      <c r="LZ335"/>
    </row>
    <row r="336" spans="1:338" x14ac:dyDescent="0.3">
      <c r="A336" s="209" t="str">
        <f>IFERROR(IF($A335+1&gt;'(backend scoring)'!$T$335,"",$A335+1),"")</f>
        <v/>
      </c>
      <c r="B336" s="209" t="str">
        <f>_xlfn.XLOOKUP($A336,'(backend scoring)'!$V$2:$V$333,'(backend scoring)'!$A$2:$A$333,"")</f>
        <v/>
      </c>
      <c r="C336" s="209" t="str">
        <f>IFERROR(VLOOKUP($B336,'Institution Evaluation'!$A$55:$F$345,2,0),IFERROR(VLOOKUP($B336,'Privacy Analyst Evaluation'!$A$46:$F$120,2,0),""))&amp;""</f>
        <v/>
      </c>
      <c r="D336" s="209" t="str">
        <f>IFERROR(VLOOKUP($B336,'Institution Evaluation'!$A$55:$F$345,3,0),IFERROR(VLOOKUP($B336,'Privacy Analyst Evaluation'!$A$46:$F$120,3,0),""))&amp;""</f>
        <v/>
      </c>
      <c r="E336" s="209" t="str">
        <f>IFERROR(VLOOKUP($B336,'Institution Evaluation'!$A$55:$F$345,4,0),IFERROR(VLOOKUP($B336,'Privacy Analyst Evaluation'!$A$46:$F$120,4,0),""))&amp;""</f>
        <v/>
      </c>
      <c r="F336" s="209" t="str">
        <f>IFERROR(VLOOKUP($B336,'Institution Evaluation'!$A$55:$F$345,6,0),IFERROR(VLOOKUP($B336,'Privacy Analyst Evaluation'!$A$46:$F$120,6,0),""))&amp;""</f>
        <v/>
      </c>
      <c r="G336" s="210"/>
      <c r="H336" s="209" t="str">
        <f>IFERROR(IF($H335+1&gt;'(backend scoring)'!$Q$335,"",$H335+1),"")</f>
        <v/>
      </c>
      <c r="I336" s="209" t="str">
        <f>_xlfn.XLOOKUP($H336,'(backend scoring)'!$S$2:$S$333,'(backend scoring)'!$A$2:$A$333,"")</f>
        <v/>
      </c>
      <c r="J336" s="209" t="str">
        <f>IFERROR(VLOOKUP($I336,'Institution Evaluation'!$A$55:$F$345,2,0),IFERROR(VLOOKUP($I336,'Privacy Analyst Evaluation'!$A$46:$F$120,2,0),""))</f>
        <v/>
      </c>
      <c r="K336" s="209" t="str">
        <f>IFERROR(VLOOKUP($I336,'Institution Evaluation'!$A$55:$F$345,3,0),IFERROR(VLOOKUP($I336,'Privacy Analyst Evaluation'!$A$46:$F$120,3,0),""))&amp;""</f>
        <v/>
      </c>
      <c r="L336" s="209" t="str">
        <f>IFERROR(VLOOKUP($I336,'Institution Evaluation'!$A$55:$F$345,4,0),IFERROR(VLOOKUP($I336,'Privacy Analyst Evaluation'!$A$46:$F$120,4,0),""))&amp;""</f>
        <v/>
      </c>
      <c r="M336" s="209" t="str">
        <f>IFERROR(VLOOKUP($I336,'Institution Evaluation'!$A$55:$F$345,6,0),IFERROR(VLOOKUP($I336,'Privacy Analyst Evaluation'!$A$46:$F$120,6,0),""))&amp;""</f>
        <v/>
      </c>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c r="HM336"/>
      <c r="HN336"/>
      <c r="HO336"/>
      <c r="HP336"/>
      <c r="HQ336"/>
      <c r="HR336"/>
      <c r="HS336"/>
      <c r="HT336"/>
      <c r="HU336"/>
      <c r="HV336"/>
      <c r="HW336"/>
      <c r="HX336"/>
      <c r="HY336"/>
      <c r="HZ336"/>
      <c r="IA336"/>
      <c r="IB336"/>
      <c r="IC336"/>
      <c r="ID336"/>
      <c r="IE336"/>
      <c r="IF336"/>
      <c r="IG336"/>
      <c r="IH336"/>
      <c r="II336"/>
      <c r="IJ336"/>
      <c r="IK336"/>
      <c r="IL336"/>
      <c r="IM336"/>
      <c r="IN336"/>
      <c r="IO336"/>
      <c r="IP336"/>
      <c r="IQ336"/>
      <c r="IR336"/>
      <c r="IS336"/>
      <c r="IT336"/>
      <c r="IU336"/>
      <c r="IV336"/>
      <c r="IW336"/>
      <c r="IX336"/>
      <c r="IY336"/>
      <c r="IZ336"/>
      <c r="JA336"/>
      <c r="JB336"/>
      <c r="JC336"/>
      <c r="JD336"/>
      <c r="JE336"/>
      <c r="JF336"/>
      <c r="JG336"/>
      <c r="JH336"/>
      <c r="JI336"/>
      <c r="JJ336"/>
      <c r="JK336"/>
      <c r="JL336"/>
      <c r="JM336"/>
      <c r="JN336"/>
      <c r="JO336"/>
      <c r="JP336"/>
      <c r="JQ336"/>
      <c r="JR336"/>
      <c r="JS336"/>
      <c r="JT336"/>
      <c r="JU336"/>
      <c r="JV336"/>
      <c r="JW336"/>
      <c r="JX336"/>
      <c r="JY336"/>
      <c r="JZ336"/>
      <c r="KA336"/>
      <c r="KB336"/>
      <c r="KC336"/>
      <c r="KD336"/>
      <c r="KE336"/>
      <c r="KF336"/>
      <c r="KG336"/>
      <c r="KH336"/>
      <c r="KI336"/>
      <c r="KJ336"/>
      <c r="KK336"/>
      <c r="KL336"/>
      <c r="KM336"/>
      <c r="KN336"/>
      <c r="KO336"/>
      <c r="KP336"/>
      <c r="KQ336"/>
      <c r="KR336"/>
      <c r="KS336"/>
      <c r="KT336"/>
      <c r="KU336"/>
      <c r="KV336"/>
      <c r="KW336"/>
      <c r="KX336"/>
      <c r="KY336"/>
      <c r="KZ336"/>
      <c r="LA336"/>
      <c r="LB336"/>
      <c r="LC336"/>
      <c r="LD336"/>
      <c r="LE336"/>
      <c r="LF336"/>
      <c r="LG336"/>
      <c r="LH336"/>
      <c r="LI336"/>
      <c r="LJ336"/>
      <c r="LK336"/>
      <c r="LL336"/>
      <c r="LM336"/>
      <c r="LN336"/>
      <c r="LO336"/>
      <c r="LP336"/>
      <c r="LQ336"/>
      <c r="LR336"/>
      <c r="LS336"/>
      <c r="LT336"/>
      <c r="LU336"/>
      <c r="LV336"/>
      <c r="LW336"/>
      <c r="LX336"/>
      <c r="LY336"/>
      <c r="LZ336"/>
    </row>
    <row r="337" spans="1:338" x14ac:dyDescent="0.3">
      <c r="A337" s="209" t="str">
        <f>IFERROR(IF($A336+1&gt;'(backend scoring)'!$T$335,"",$A336+1),"")</f>
        <v/>
      </c>
      <c r="B337" s="209" t="str">
        <f>_xlfn.XLOOKUP($A337,'(backend scoring)'!$V$2:$V$333,'(backend scoring)'!$A$2:$A$333,"")</f>
        <v/>
      </c>
      <c r="C337" s="209" t="str">
        <f>IFERROR(VLOOKUP($B337,'Institution Evaluation'!$A$55:$F$345,2,0),IFERROR(VLOOKUP($B337,'Privacy Analyst Evaluation'!$A$46:$F$120,2,0),""))&amp;""</f>
        <v/>
      </c>
      <c r="D337" s="209" t="str">
        <f>IFERROR(VLOOKUP($B337,'Institution Evaluation'!$A$55:$F$345,3,0),IFERROR(VLOOKUP($B337,'Privacy Analyst Evaluation'!$A$46:$F$120,3,0),""))&amp;""</f>
        <v/>
      </c>
      <c r="E337" s="209" t="str">
        <f>IFERROR(VLOOKUP($B337,'Institution Evaluation'!$A$55:$F$345,4,0),IFERROR(VLOOKUP($B337,'Privacy Analyst Evaluation'!$A$46:$F$120,4,0),""))&amp;""</f>
        <v/>
      </c>
      <c r="F337" s="209" t="str">
        <f>IFERROR(VLOOKUP($B337,'Institution Evaluation'!$A$55:$F$345,6,0),IFERROR(VLOOKUP($B337,'Privacy Analyst Evaluation'!$A$46:$F$120,6,0),""))&amp;""</f>
        <v/>
      </c>
      <c r="G337" s="210"/>
      <c r="H337" s="209" t="str">
        <f>IFERROR(IF($H336+1&gt;'(backend scoring)'!$Q$335,"",$H336+1),"")</f>
        <v/>
      </c>
      <c r="I337" s="209" t="str">
        <f>_xlfn.XLOOKUP($H337,'(backend scoring)'!$S$2:$S$333,'(backend scoring)'!$A$2:$A$333,"")</f>
        <v/>
      </c>
      <c r="J337" s="209" t="str">
        <f>IFERROR(VLOOKUP($I337,'Institution Evaluation'!$A$55:$F$345,2,0),IFERROR(VLOOKUP($I337,'Privacy Analyst Evaluation'!$A$46:$F$120,2,0),""))</f>
        <v/>
      </c>
      <c r="K337" s="209" t="str">
        <f>IFERROR(VLOOKUP($I337,'Institution Evaluation'!$A$55:$F$345,3,0),IFERROR(VLOOKUP($I337,'Privacy Analyst Evaluation'!$A$46:$F$120,3,0),""))&amp;""</f>
        <v/>
      </c>
      <c r="L337" s="209" t="str">
        <f>IFERROR(VLOOKUP($I337,'Institution Evaluation'!$A$55:$F$345,4,0),IFERROR(VLOOKUP($I337,'Privacy Analyst Evaluation'!$A$46:$F$120,4,0),""))&amp;""</f>
        <v/>
      </c>
      <c r="M337" s="209" t="str">
        <f>IFERROR(VLOOKUP($I337,'Institution Evaluation'!$A$55:$F$345,6,0),IFERROR(VLOOKUP($I337,'Privacy Analyst Evaluation'!$A$46:$F$120,6,0),""))&amp;""</f>
        <v/>
      </c>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c r="JY337"/>
      <c r="JZ337"/>
      <c r="KA337"/>
      <c r="KB337"/>
      <c r="KC337"/>
      <c r="KD337"/>
      <c r="KE337"/>
      <c r="KF337"/>
      <c r="KG337"/>
      <c r="KH337"/>
      <c r="KI337"/>
      <c r="KJ337"/>
      <c r="KK337"/>
      <c r="KL337"/>
      <c r="KM337"/>
      <c r="KN337"/>
      <c r="KO337"/>
      <c r="KP337"/>
      <c r="KQ337"/>
      <c r="KR337"/>
      <c r="KS337"/>
      <c r="KT337"/>
      <c r="KU337"/>
      <c r="KV337"/>
      <c r="KW337"/>
      <c r="KX337"/>
      <c r="KY337"/>
      <c r="KZ337"/>
      <c r="LA337"/>
      <c r="LB337"/>
      <c r="LC337"/>
      <c r="LD337"/>
      <c r="LE337"/>
      <c r="LF337"/>
      <c r="LG337"/>
      <c r="LH337"/>
      <c r="LI337"/>
      <c r="LJ337"/>
      <c r="LK337"/>
      <c r="LL337"/>
      <c r="LM337"/>
      <c r="LN337"/>
      <c r="LO337"/>
      <c r="LP337"/>
      <c r="LQ337"/>
      <c r="LR337"/>
      <c r="LS337"/>
      <c r="LT337"/>
      <c r="LU337"/>
      <c r="LV337"/>
      <c r="LW337"/>
      <c r="LX337"/>
      <c r="LY337"/>
      <c r="LZ337"/>
    </row>
    <row r="338" spans="1:338" x14ac:dyDescent="0.3">
      <c r="A338" s="209" t="str">
        <f>IFERROR(IF($A337+1&gt;'(backend scoring)'!$T$335,"",$A337+1),"")</f>
        <v/>
      </c>
      <c r="B338" s="209" t="str">
        <f>_xlfn.XLOOKUP($A338,'(backend scoring)'!$V$2:$V$333,'(backend scoring)'!$A$2:$A$333,"")</f>
        <v/>
      </c>
      <c r="C338" s="209" t="str">
        <f>IFERROR(VLOOKUP($B338,'Institution Evaluation'!$A$55:$F$345,2,0),IFERROR(VLOOKUP($B338,'Privacy Analyst Evaluation'!$A$46:$F$120,2,0),""))&amp;""</f>
        <v/>
      </c>
      <c r="D338" s="209" t="str">
        <f>IFERROR(VLOOKUP($B338,'Institution Evaluation'!$A$55:$F$345,3,0),IFERROR(VLOOKUP($B338,'Privacy Analyst Evaluation'!$A$46:$F$120,3,0),""))&amp;""</f>
        <v/>
      </c>
      <c r="E338" s="209" t="str">
        <f>IFERROR(VLOOKUP($B338,'Institution Evaluation'!$A$55:$F$345,4,0),IFERROR(VLOOKUP($B338,'Privacy Analyst Evaluation'!$A$46:$F$120,4,0),""))&amp;""</f>
        <v/>
      </c>
      <c r="F338" s="209" t="str">
        <f>IFERROR(VLOOKUP($B338,'Institution Evaluation'!$A$55:$F$345,6,0),IFERROR(VLOOKUP($B338,'Privacy Analyst Evaluation'!$A$46:$F$120,6,0),""))&amp;""</f>
        <v/>
      </c>
      <c r="G338" s="210"/>
      <c r="H338" s="209" t="str">
        <f>IFERROR(IF($H337+1&gt;'(backend scoring)'!$Q$335,"",$H337+1),"")</f>
        <v/>
      </c>
      <c r="I338" s="209" t="str">
        <f>_xlfn.XLOOKUP($H338,'(backend scoring)'!$S$2:$S$333,'(backend scoring)'!$A$2:$A$333,"")</f>
        <v/>
      </c>
      <c r="J338" s="209" t="str">
        <f>IFERROR(VLOOKUP($I338,'Institution Evaluation'!$A$55:$F$345,2,0),IFERROR(VLOOKUP($I338,'Privacy Analyst Evaluation'!$A$46:$F$120,2,0),""))</f>
        <v/>
      </c>
      <c r="K338" s="209" t="str">
        <f>IFERROR(VLOOKUP($I338,'Institution Evaluation'!$A$55:$F$345,3,0),IFERROR(VLOOKUP($I338,'Privacy Analyst Evaluation'!$A$46:$F$120,3,0),""))&amp;""</f>
        <v/>
      </c>
      <c r="L338" s="209" t="str">
        <f>IFERROR(VLOOKUP($I338,'Institution Evaluation'!$A$55:$F$345,4,0),IFERROR(VLOOKUP($I338,'Privacy Analyst Evaluation'!$A$46:$F$120,4,0),""))&amp;""</f>
        <v/>
      </c>
      <c r="M338" s="209" t="str">
        <f>IFERROR(VLOOKUP($I338,'Institution Evaluation'!$A$55:$F$345,6,0),IFERROR(VLOOKUP($I338,'Privacy Analyst Evaluation'!$A$46:$F$120,6,0),""))&amp;""</f>
        <v/>
      </c>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c r="HM338"/>
      <c r="HN338"/>
      <c r="HO338"/>
      <c r="HP338"/>
      <c r="HQ338"/>
      <c r="HR338"/>
      <c r="HS338"/>
      <c r="HT338"/>
      <c r="HU338"/>
      <c r="HV338"/>
      <c r="HW338"/>
      <c r="HX338"/>
      <c r="HY338"/>
      <c r="HZ338"/>
      <c r="IA338"/>
      <c r="IB338"/>
      <c r="IC338"/>
      <c r="ID338"/>
      <c r="IE338"/>
      <c r="IF338"/>
      <c r="IG338"/>
      <c r="IH338"/>
      <c r="II338"/>
      <c r="IJ338"/>
      <c r="IK338"/>
      <c r="IL338"/>
      <c r="IM338"/>
      <c r="IN338"/>
      <c r="IO338"/>
      <c r="IP338"/>
      <c r="IQ338"/>
      <c r="IR338"/>
      <c r="IS338"/>
      <c r="IT338"/>
      <c r="IU338"/>
      <c r="IV338"/>
      <c r="IW338"/>
      <c r="IX338"/>
      <c r="IY338"/>
      <c r="IZ338"/>
      <c r="JA338"/>
      <c r="JB338"/>
      <c r="JC338"/>
      <c r="JD338"/>
      <c r="JE338"/>
      <c r="JF338"/>
      <c r="JG338"/>
      <c r="JH338"/>
      <c r="JI338"/>
      <c r="JJ338"/>
      <c r="JK338"/>
      <c r="JL338"/>
      <c r="JM338"/>
      <c r="JN338"/>
      <c r="JO338"/>
      <c r="JP338"/>
      <c r="JQ338"/>
      <c r="JR338"/>
      <c r="JS338"/>
      <c r="JT338"/>
      <c r="JU338"/>
      <c r="JV338"/>
      <c r="JW338"/>
      <c r="JX338"/>
      <c r="JY338"/>
      <c r="JZ338"/>
      <c r="KA338"/>
      <c r="KB338"/>
      <c r="KC338"/>
      <c r="KD338"/>
      <c r="KE338"/>
      <c r="KF338"/>
      <c r="KG338"/>
      <c r="KH338"/>
      <c r="KI338"/>
      <c r="KJ338"/>
      <c r="KK338"/>
      <c r="KL338"/>
      <c r="KM338"/>
      <c r="KN338"/>
      <c r="KO338"/>
      <c r="KP338"/>
      <c r="KQ338"/>
      <c r="KR338"/>
      <c r="KS338"/>
      <c r="KT338"/>
      <c r="KU338"/>
      <c r="KV338"/>
      <c r="KW338"/>
      <c r="KX338"/>
      <c r="KY338"/>
      <c r="KZ338"/>
      <c r="LA338"/>
      <c r="LB338"/>
      <c r="LC338"/>
      <c r="LD338"/>
      <c r="LE338"/>
      <c r="LF338"/>
      <c r="LG338"/>
      <c r="LH338"/>
      <c r="LI338"/>
      <c r="LJ338"/>
      <c r="LK338"/>
      <c r="LL338"/>
      <c r="LM338"/>
      <c r="LN338"/>
      <c r="LO338"/>
      <c r="LP338"/>
      <c r="LQ338"/>
      <c r="LR338"/>
      <c r="LS338"/>
      <c r="LT338"/>
      <c r="LU338"/>
      <c r="LV338"/>
      <c r="LW338"/>
      <c r="LX338"/>
      <c r="LY338"/>
      <c r="LZ338"/>
    </row>
    <row r="339" spans="1:338" x14ac:dyDescent="0.3">
      <c r="A339" s="209" t="str">
        <f>IFERROR(IF($A338+1&gt;'(backend scoring)'!$T$335,"",$A338+1),"")</f>
        <v/>
      </c>
      <c r="B339" s="209" t="str">
        <f>_xlfn.XLOOKUP($A339,'(backend scoring)'!$V$2:$V$333,'(backend scoring)'!$A$2:$A$333,"")</f>
        <v/>
      </c>
      <c r="C339" s="209" t="str">
        <f>IFERROR(VLOOKUP($B339,'Institution Evaluation'!$A$55:$F$345,2,0),IFERROR(VLOOKUP($B339,'Privacy Analyst Evaluation'!$A$46:$F$120,2,0),""))&amp;""</f>
        <v/>
      </c>
      <c r="D339" s="209" t="str">
        <f>IFERROR(VLOOKUP($B339,'Institution Evaluation'!$A$55:$F$345,3,0),IFERROR(VLOOKUP($B339,'Privacy Analyst Evaluation'!$A$46:$F$120,3,0),""))&amp;""</f>
        <v/>
      </c>
      <c r="E339" s="209" t="str">
        <f>IFERROR(VLOOKUP($B339,'Institution Evaluation'!$A$55:$F$345,4,0),IFERROR(VLOOKUP($B339,'Privacy Analyst Evaluation'!$A$46:$F$120,4,0),""))&amp;""</f>
        <v/>
      </c>
      <c r="F339" s="209" t="str">
        <f>IFERROR(VLOOKUP($B339,'Institution Evaluation'!$A$55:$F$345,6,0),IFERROR(VLOOKUP($B339,'Privacy Analyst Evaluation'!$A$46:$F$120,6,0),""))&amp;""</f>
        <v/>
      </c>
      <c r="G339" s="210"/>
      <c r="H339" s="209" t="str">
        <f>IFERROR(IF($H338+1&gt;'(backend scoring)'!$Q$335,"",$H338+1),"")</f>
        <v/>
      </c>
      <c r="I339" s="209" t="str">
        <f>_xlfn.XLOOKUP($H339,'(backend scoring)'!$S$2:$S$333,'(backend scoring)'!$A$2:$A$333,"")</f>
        <v/>
      </c>
      <c r="J339" s="209" t="str">
        <f>IFERROR(VLOOKUP($I339,'Institution Evaluation'!$A$55:$F$345,2,0),IFERROR(VLOOKUP($I339,'Privacy Analyst Evaluation'!$A$46:$F$120,2,0),""))</f>
        <v/>
      </c>
      <c r="K339" s="209" t="str">
        <f>IFERROR(VLOOKUP($I339,'Institution Evaluation'!$A$55:$F$345,3,0),IFERROR(VLOOKUP($I339,'Privacy Analyst Evaluation'!$A$46:$F$120,3,0),""))&amp;""</f>
        <v/>
      </c>
      <c r="L339" s="209" t="str">
        <f>IFERROR(VLOOKUP($I339,'Institution Evaluation'!$A$55:$F$345,4,0),IFERROR(VLOOKUP($I339,'Privacy Analyst Evaluation'!$A$46:$F$120,4,0),""))&amp;""</f>
        <v/>
      </c>
      <c r="M339" s="209" t="str">
        <f>IFERROR(VLOOKUP($I339,'Institution Evaluation'!$A$55:$F$345,6,0),IFERROR(VLOOKUP($I339,'Privacy Analyst Evaluation'!$A$46:$F$120,6,0),""))&amp;""</f>
        <v/>
      </c>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c r="HM339"/>
      <c r="HN339"/>
      <c r="HO339"/>
      <c r="HP339"/>
      <c r="HQ339"/>
      <c r="HR339"/>
      <c r="HS339"/>
      <c r="HT339"/>
      <c r="HU339"/>
      <c r="HV339"/>
      <c r="HW339"/>
      <c r="HX339"/>
      <c r="HY339"/>
      <c r="HZ339"/>
      <c r="IA339"/>
      <c r="IB339"/>
      <c r="IC339"/>
      <c r="ID339"/>
      <c r="IE339"/>
      <c r="IF339"/>
      <c r="IG339"/>
      <c r="IH339"/>
      <c r="II339"/>
      <c r="IJ339"/>
      <c r="IK339"/>
      <c r="IL339"/>
      <c r="IM339"/>
      <c r="IN339"/>
      <c r="IO339"/>
      <c r="IP339"/>
      <c r="IQ339"/>
      <c r="IR339"/>
      <c r="IS339"/>
      <c r="IT339"/>
      <c r="IU339"/>
      <c r="IV339"/>
      <c r="IW339"/>
      <c r="IX339"/>
      <c r="IY339"/>
      <c r="IZ339"/>
      <c r="JA339"/>
      <c r="JB339"/>
      <c r="JC339"/>
      <c r="JD339"/>
      <c r="JE339"/>
      <c r="JF339"/>
      <c r="JG339"/>
      <c r="JH339"/>
      <c r="JI339"/>
      <c r="JJ339"/>
      <c r="JK339"/>
      <c r="JL339"/>
      <c r="JM339"/>
      <c r="JN339"/>
      <c r="JO339"/>
      <c r="JP339"/>
      <c r="JQ339"/>
      <c r="JR339"/>
      <c r="JS339"/>
      <c r="JT339"/>
      <c r="JU339"/>
      <c r="JV339"/>
      <c r="JW339"/>
      <c r="JX339"/>
      <c r="JY339"/>
      <c r="JZ339"/>
      <c r="KA339"/>
      <c r="KB339"/>
      <c r="KC339"/>
      <c r="KD339"/>
      <c r="KE339"/>
      <c r="KF339"/>
      <c r="KG339"/>
      <c r="KH339"/>
      <c r="KI339"/>
      <c r="KJ339"/>
      <c r="KK339"/>
      <c r="KL339"/>
      <c r="KM339"/>
      <c r="KN339"/>
      <c r="KO339"/>
      <c r="KP339"/>
      <c r="KQ339"/>
      <c r="KR339"/>
      <c r="KS339"/>
      <c r="KT339"/>
      <c r="KU339"/>
      <c r="KV339"/>
      <c r="KW339"/>
      <c r="KX339"/>
      <c r="KY339"/>
      <c r="KZ339"/>
      <c r="LA339"/>
      <c r="LB339"/>
      <c r="LC339"/>
      <c r="LD339"/>
      <c r="LE339"/>
      <c r="LF339"/>
      <c r="LG339"/>
      <c r="LH339"/>
      <c r="LI339"/>
      <c r="LJ339"/>
      <c r="LK339"/>
      <c r="LL339"/>
      <c r="LM339"/>
      <c r="LN339"/>
      <c r="LO339"/>
      <c r="LP339"/>
      <c r="LQ339"/>
      <c r="LR339"/>
      <c r="LS339"/>
      <c r="LT339"/>
      <c r="LU339"/>
      <c r="LV339"/>
      <c r="LW339"/>
      <c r="LX339"/>
      <c r="LY339"/>
      <c r="LZ339"/>
    </row>
    <row r="340" spans="1:338" x14ac:dyDescent="0.3">
      <c r="A340" s="209" t="str">
        <f>IFERROR(IF($A339+1&gt;'(backend scoring)'!$T$335,"",$A339+1),"")</f>
        <v/>
      </c>
      <c r="B340" s="209" t="str">
        <f>_xlfn.XLOOKUP($A340,'(backend scoring)'!$V$2:$V$333,'(backend scoring)'!$A$2:$A$333,"")</f>
        <v/>
      </c>
      <c r="C340" s="209" t="str">
        <f>IFERROR(VLOOKUP($B340,'Institution Evaluation'!$A$55:$F$345,2,0),IFERROR(VLOOKUP($B340,'Privacy Analyst Evaluation'!$A$46:$F$120,2,0),""))&amp;""</f>
        <v/>
      </c>
      <c r="D340" s="209" t="str">
        <f>IFERROR(VLOOKUP($B340,'Institution Evaluation'!$A$55:$F$345,3,0),IFERROR(VLOOKUP($B340,'Privacy Analyst Evaluation'!$A$46:$F$120,3,0),""))&amp;""</f>
        <v/>
      </c>
      <c r="E340" s="209" t="str">
        <f>IFERROR(VLOOKUP($B340,'Institution Evaluation'!$A$55:$F$345,4,0),IFERROR(VLOOKUP($B340,'Privacy Analyst Evaluation'!$A$46:$F$120,4,0),""))&amp;""</f>
        <v/>
      </c>
      <c r="F340" s="209" t="str">
        <f>IFERROR(VLOOKUP($B340,'Institution Evaluation'!$A$55:$F$345,6,0),IFERROR(VLOOKUP($B340,'Privacy Analyst Evaluation'!$A$46:$F$120,6,0),""))&amp;""</f>
        <v/>
      </c>
      <c r="G340" s="210"/>
      <c r="H340" s="209" t="str">
        <f>IFERROR(IF($H339+1&gt;'(backend scoring)'!$Q$335,"",$H339+1),"")</f>
        <v/>
      </c>
      <c r="I340" s="209" t="str">
        <f>_xlfn.XLOOKUP($H340,'(backend scoring)'!$S$2:$S$333,'(backend scoring)'!$A$2:$A$333,"")</f>
        <v/>
      </c>
      <c r="J340" s="209" t="str">
        <f>IFERROR(VLOOKUP($I340,'Institution Evaluation'!$A$55:$F$345,2,0),IFERROR(VLOOKUP($I340,'Privacy Analyst Evaluation'!$A$46:$F$120,2,0),""))</f>
        <v/>
      </c>
      <c r="K340" s="209" t="str">
        <f>IFERROR(VLOOKUP($I340,'Institution Evaluation'!$A$55:$F$345,3,0),IFERROR(VLOOKUP($I340,'Privacy Analyst Evaluation'!$A$46:$F$120,3,0),""))&amp;""</f>
        <v/>
      </c>
      <c r="L340" s="209" t="str">
        <f>IFERROR(VLOOKUP($I340,'Institution Evaluation'!$A$55:$F$345,4,0),IFERROR(VLOOKUP($I340,'Privacy Analyst Evaluation'!$A$46:$F$120,4,0),""))&amp;""</f>
        <v/>
      </c>
      <c r="M340" s="209" t="str">
        <f>IFERROR(VLOOKUP($I340,'Institution Evaluation'!$A$55:$F$345,6,0),IFERROR(VLOOKUP($I340,'Privacy Analyst Evaluation'!$A$46:$F$120,6,0),""))&amp;""</f>
        <v/>
      </c>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c r="II340"/>
      <c r="IJ340"/>
      <c r="IK340"/>
      <c r="IL340"/>
      <c r="IM340"/>
      <c r="IN340"/>
      <c r="IO340"/>
      <c r="IP340"/>
      <c r="IQ340"/>
      <c r="IR340"/>
      <c r="IS340"/>
      <c r="IT340"/>
      <c r="IU340"/>
      <c r="IV340"/>
      <c r="IW340"/>
      <c r="IX340"/>
      <c r="IY340"/>
      <c r="IZ340"/>
      <c r="JA340"/>
      <c r="JB340"/>
      <c r="JC340"/>
      <c r="JD340"/>
      <c r="JE340"/>
      <c r="JF340"/>
      <c r="JG340"/>
      <c r="JH340"/>
      <c r="JI340"/>
      <c r="JJ340"/>
      <c r="JK340"/>
      <c r="JL340"/>
      <c r="JM340"/>
      <c r="JN340"/>
      <c r="JO340"/>
      <c r="JP340"/>
      <c r="JQ340"/>
      <c r="JR340"/>
      <c r="JS340"/>
      <c r="JT340"/>
      <c r="JU340"/>
      <c r="JV340"/>
      <c r="JW340"/>
      <c r="JX340"/>
      <c r="JY340"/>
      <c r="JZ340"/>
      <c r="KA340"/>
      <c r="KB340"/>
      <c r="KC340"/>
      <c r="KD340"/>
      <c r="KE340"/>
      <c r="KF340"/>
      <c r="KG340"/>
      <c r="KH340"/>
      <c r="KI340"/>
      <c r="KJ340"/>
      <c r="KK340"/>
      <c r="KL340"/>
      <c r="KM340"/>
      <c r="KN340"/>
      <c r="KO340"/>
      <c r="KP340"/>
      <c r="KQ340"/>
      <c r="KR340"/>
      <c r="KS340"/>
      <c r="KT340"/>
      <c r="KU340"/>
      <c r="KV340"/>
      <c r="KW340"/>
      <c r="KX340"/>
      <c r="KY340"/>
      <c r="KZ340"/>
      <c r="LA340"/>
      <c r="LB340"/>
      <c r="LC340"/>
      <c r="LD340"/>
      <c r="LE340"/>
      <c r="LF340"/>
      <c r="LG340"/>
      <c r="LH340"/>
      <c r="LI340"/>
      <c r="LJ340"/>
      <c r="LK340"/>
      <c r="LL340"/>
      <c r="LM340"/>
      <c r="LN340"/>
      <c r="LO340"/>
      <c r="LP340"/>
      <c r="LQ340"/>
      <c r="LR340"/>
      <c r="LS340"/>
      <c r="LT340"/>
      <c r="LU340"/>
      <c r="LV340"/>
      <c r="LW340"/>
      <c r="LX340"/>
      <c r="LY340"/>
      <c r="LZ340"/>
    </row>
    <row r="341" spans="1:338" x14ac:dyDescent="0.3">
      <c r="A341" s="209" t="str">
        <f>IFERROR(IF($A340+1&gt;'(backend scoring)'!$T$335,"",$A340+1),"")</f>
        <v/>
      </c>
      <c r="B341" s="209" t="str">
        <f>_xlfn.XLOOKUP($A341,'(backend scoring)'!$V$2:$V$333,'(backend scoring)'!$A$2:$A$333,"")</f>
        <v/>
      </c>
      <c r="C341" s="209" t="str">
        <f>IFERROR(VLOOKUP($B341,'Institution Evaluation'!$A$55:$F$345,2,0),IFERROR(VLOOKUP($B341,'Privacy Analyst Evaluation'!$A$46:$F$120,2,0),""))&amp;""</f>
        <v/>
      </c>
      <c r="D341" s="209" t="str">
        <f>IFERROR(VLOOKUP($B341,'Institution Evaluation'!$A$55:$F$345,3,0),IFERROR(VLOOKUP($B341,'Privacy Analyst Evaluation'!$A$46:$F$120,3,0),""))&amp;""</f>
        <v/>
      </c>
      <c r="E341" s="209" t="str">
        <f>IFERROR(VLOOKUP($B341,'Institution Evaluation'!$A$55:$F$345,4,0),IFERROR(VLOOKUP($B341,'Privacy Analyst Evaluation'!$A$46:$F$120,4,0),""))&amp;""</f>
        <v/>
      </c>
      <c r="F341" s="209" t="str">
        <f>IFERROR(VLOOKUP($B341,'Institution Evaluation'!$A$55:$F$345,6,0),IFERROR(VLOOKUP($B341,'Privacy Analyst Evaluation'!$A$46:$F$120,6,0),""))&amp;""</f>
        <v/>
      </c>
      <c r="G341" s="210"/>
      <c r="H341" s="209" t="str">
        <f>IFERROR(IF($H340+1&gt;'(backend scoring)'!$Q$335,"",$H340+1),"")</f>
        <v/>
      </c>
      <c r="I341" s="209" t="str">
        <f>_xlfn.XLOOKUP($H341,'(backend scoring)'!$S$2:$S$333,'(backend scoring)'!$A$2:$A$333,"")</f>
        <v/>
      </c>
      <c r="J341" s="209" t="str">
        <f>IFERROR(VLOOKUP($I341,'Institution Evaluation'!$A$55:$F$345,2,0),IFERROR(VLOOKUP($I341,'Privacy Analyst Evaluation'!$A$46:$F$120,2,0),""))</f>
        <v/>
      </c>
      <c r="K341" s="209" t="str">
        <f>IFERROR(VLOOKUP($I341,'Institution Evaluation'!$A$55:$F$345,3,0),IFERROR(VLOOKUP($I341,'Privacy Analyst Evaluation'!$A$46:$F$120,3,0),""))&amp;""</f>
        <v/>
      </c>
      <c r="L341" s="209" t="str">
        <f>IFERROR(VLOOKUP($I341,'Institution Evaluation'!$A$55:$F$345,4,0),IFERROR(VLOOKUP($I341,'Privacy Analyst Evaluation'!$A$46:$F$120,4,0),""))&amp;""</f>
        <v/>
      </c>
      <c r="M341" s="209" t="str">
        <f>IFERROR(VLOOKUP($I341,'Institution Evaluation'!$A$55:$F$345,6,0),IFERROR(VLOOKUP($I341,'Privacy Analyst Evaluation'!$A$46:$F$120,6,0),""))&amp;""</f>
        <v/>
      </c>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c r="HM341"/>
      <c r="HN341"/>
      <c r="HO341"/>
      <c r="HP341"/>
      <c r="HQ341"/>
      <c r="HR341"/>
      <c r="HS341"/>
      <c r="HT341"/>
      <c r="HU341"/>
      <c r="HV341"/>
      <c r="HW341"/>
      <c r="HX341"/>
      <c r="HY341"/>
      <c r="HZ341"/>
      <c r="IA341"/>
      <c r="IB341"/>
      <c r="IC341"/>
      <c r="ID341"/>
      <c r="IE341"/>
      <c r="IF341"/>
      <c r="IG341"/>
      <c r="IH341"/>
      <c r="II341"/>
      <c r="IJ341"/>
      <c r="IK341"/>
      <c r="IL341"/>
      <c r="IM341"/>
      <c r="IN341"/>
      <c r="IO341"/>
      <c r="IP341"/>
      <c r="IQ341"/>
      <c r="IR341"/>
      <c r="IS341"/>
      <c r="IT341"/>
      <c r="IU341"/>
      <c r="IV341"/>
      <c r="IW341"/>
      <c r="IX341"/>
      <c r="IY341"/>
      <c r="IZ341"/>
      <c r="JA341"/>
      <c r="JB341"/>
      <c r="JC341"/>
      <c r="JD341"/>
      <c r="JE341"/>
      <c r="JF341"/>
      <c r="JG341"/>
      <c r="JH341"/>
      <c r="JI341"/>
      <c r="JJ341"/>
      <c r="JK341"/>
      <c r="JL341"/>
      <c r="JM341"/>
      <c r="JN341"/>
      <c r="JO341"/>
      <c r="JP341"/>
      <c r="JQ341"/>
      <c r="JR341"/>
      <c r="JS341"/>
      <c r="JT341"/>
      <c r="JU341"/>
      <c r="JV341"/>
      <c r="JW341"/>
      <c r="JX341"/>
      <c r="JY341"/>
      <c r="JZ341"/>
      <c r="KA341"/>
      <c r="KB341"/>
      <c r="KC341"/>
      <c r="KD341"/>
      <c r="KE341"/>
      <c r="KF341"/>
      <c r="KG341"/>
      <c r="KH341"/>
      <c r="KI341"/>
      <c r="KJ341"/>
      <c r="KK341"/>
      <c r="KL341"/>
      <c r="KM341"/>
      <c r="KN341"/>
      <c r="KO341"/>
      <c r="KP341"/>
      <c r="KQ341"/>
      <c r="KR341"/>
      <c r="KS341"/>
      <c r="KT341"/>
      <c r="KU341"/>
      <c r="KV341"/>
      <c r="KW341"/>
      <c r="KX341"/>
      <c r="KY341"/>
      <c r="KZ341"/>
      <c r="LA341"/>
      <c r="LB341"/>
      <c r="LC341"/>
      <c r="LD341"/>
      <c r="LE341"/>
      <c r="LF341"/>
      <c r="LG341"/>
      <c r="LH341"/>
      <c r="LI341"/>
      <c r="LJ341"/>
      <c r="LK341"/>
      <c r="LL341"/>
      <c r="LM341"/>
      <c r="LN341"/>
      <c r="LO341"/>
      <c r="LP341"/>
      <c r="LQ341"/>
      <c r="LR341"/>
      <c r="LS341"/>
      <c r="LT341"/>
      <c r="LU341"/>
      <c r="LV341"/>
      <c r="LW341"/>
      <c r="LX341"/>
      <c r="LY341"/>
      <c r="LZ341"/>
    </row>
    <row r="342" spans="1:338" x14ac:dyDescent="0.3">
      <c r="A342" s="209" t="str">
        <f>IFERROR(IF($A341+1&gt;'(backend scoring)'!$T$335,"",$A341+1),"")</f>
        <v/>
      </c>
      <c r="B342" s="209" t="str">
        <f>_xlfn.XLOOKUP($A342,'(backend scoring)'!$V$2:$V$333,'(backend scoring)'!$A$2:$A$333,"")</f>
        <v/>
      </c>
      <c r="C342" s="209" t="str">
        <f>IFERROR(VLOOKUP($B342,'Institution Evaluation'!$A$55:$F$345,2,0),IFERROR(VLOOKUP($B342,'Privacy Analyst Evaluation'!$A$46:$F$120,2,0),""))&amp;""</f>
        <v/>
      </c>
      <c r="D342" s="209" t="str">
        <f>IFERROR(VLOOKUP($B342,'Institution Evaluation'!$A$55:$F$345,3,0),IFERROR(VLOOKUP($B342,'Privacy Analyst Evaluation'!$A$46:$F$120,3,0),""))&amp;""</f>
        <v/>
      </c>
      <c r="E342" s="209" t="str">
        <f>IFERROR(VLOOKUP($B342,'Institution Evaluation'!$A$55:$F$345,4,0),IFERROR(VLOOKUP($B342,'Privacy Analyst Evaluation'!$A$46:$F$120,4,0),""))&amp;""</f>
        <v/>
      </c>
      <c r="F342" s="209" t="str">
        <f>IFERROR(VLOOKUP($B342,'Institution Evaluation'!$A$55:$F$345,6,0),IFERROR(VLOOKUP($B342,'Privacy Analyst Evaluation'!$A$46:$F$120,6,0),""))&amp;""</f>
        <v/>
      </c>
      <c r="G342" s="210"/>
      <c r="H342" s="209" t="str">
        <f>IFERROR(IF($H341+1&gt;'(backend scoring)'!$Q$335,"",$H341+1),"")</f>
        <v/>
      </c>
      <c r="I342" s="209" t="str">
        <f>_xlfn.XLOOKUP($H342,'(backend scoring)'!$S$2:$S$333,'(backend scoring)'!$A$2:$A$333,"")</f>
        <v/>
      </c>
      <c r="J342" s="209" t="str">
        <f>IFERROR(VLOOKUP($I342,'Institution Evaluation'!$A$55:$F$345,2,0),IFERROR(VLOOKUP($I342,'Privacy Analyst Evaluation'!$A$46:$F$120,2,0),""))</f>
        <v/>
      </c>
      <c r="K342" s="209" t="str">
        <f>IFERROR(VLOOKUP($I342,'Institution Evaluation'!$A$55:$F$345,3,0),IFERROR(VLOOKUP($I342,'Privacy Analyst Evaluation'!$A$46:$F$120,3,0),""))&amp;""</f>
        <v/>
      </c>
      <c r="L342" s="209" t="str">
        <f>IFERROR(VLOOKUP($I342,'Institution Evaluation'!$A$55:$F$345,4,0),IFERROR(VLOOKUP($I342,'Privacy Analyst Evaluation'!$A$46:$F$120,4,0),""))&amp;""</f>
        <v/>
      </c>
      <c r="M342" s="209" t="str">
        <f>IFERROR(VLOOKUP($I342,'Institution Evaluation'!$A$55:$F$345,6,0),IFERROR(VLOOKUP($I342,'Privacy Analyst Evaluation'!$A$46:$F$120,6,0),""))&amp;""</f>
        <v/>
      </c>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c r="KY342"/>
      <c r="KZ342"/>
      <c r="LA342"/>
      <c r="LB342"/>
      <c r="LC342"/>
      <c r="LD342"/>
      <c r="LE342"/>
      <c r="LF342"/>
      <c r="LG342"/>
      <c r="LH342"/>
      <c r="LI342"/>
      <c r="LJ342"/>
      <c r="LK342"/>
      <c r="LL342"/>
      <c r="LM342"/>
      <c r="LN342"/>
      <c r="LO342"/>
      <c r="LP342"/>
      <c r="LQ342"/>
      <c r="LR342"/>
      <c r="LS342"/>
      <c r="LT342"/>
      <c r="LU342"/>
      <c r="LV342"/>
      <c r="LW342"/>
      <c r="LX342"/>
      <c r="LY342"/>
      <c r="LZ342"/>
    </row>
    <row r="343" spans="1:338" x14ac:dyDescent="0.3">
      <c r="A343" s="209" t="str">
        <f>IFERROR(IF($A342+1&gt;'(backend scoring)'!$T$335,"",$A342+1),"")</f>
        <v/>
      </c>
      <c r="B343" s="209" t="str">
        <f>_xlfn.XLOOKUP($A343,'(backend scoring)'!$V$2:$V$333,'(backend scoring)'!$A$2:$A$333,"")</f>
        <v/>
      </c>
      <c r="C343" s="209" t="str">
        <f>IFERROR(VLOOKUP($B343,'Institution Evaluation'!$A$55:$F$345,2,0),IFERROR(VLOOKUP($B343,'Privacy Analyst Evaluation'!$A$46:$F$120,2,0),""))&amp;""</f>
        <v/>
      </c>
      <c r="D343" s="209" t="str">
        <f>IFERROR(VLOOKUP($B343,'Institution Evaluation'!$A$55:$F$345,3,0),IFERROR(VLOOKUP($B343,'Privacy Analyst Evaluation'!$A$46:$F$120,3,0),""))&amp;""</f>
        <v/>
      </c>
      <c r="E343" s="209" t="str">
        <f>IFERROR(VLOOKUP($B343,'Institution Evaluation'!$A$55:$F$345,4,0),IFERROR(VLOOKUP($B343,'Privacy Analyst Evaluation'!$A$46:$F$120,4,0),""))&amp;""</f>
        <v/>
      </c>
      <c r="F343" s="209" t="str">
        <f>IFERROR(VLOOKUP($B343,'Institution Evaluation'!$A$55:$F$345,6,0),IFERROR(VLOOKUP($B343,'Privacy Analyst Evaluation'!$A$46:$F$120,6,0),""))&amp;""</f>
        <v/>
      </c>
      <c r="G343" s="210"/>
      <c r="H343" s="209" t="str">
        <f>IFERROR(IF($H342+1&gt;'(backend scoring)'!$Q$335,"",$H342+1),"")</f>
        <v/>
      </c>
      <c r="I343" s="209" t="str">
        <f>_xlfn.XLOOKUP($H343,'(backend scoring)'!$S$2:$S$333,'(backend scoring)'!$A$2:$A$333,"")</f>
        <v/>
      </c>
      <c r="J343" s="209" t="str">
        <f>IFERROR(VLOOKUP($I343,'Institution Evaluation'!$A$55:$F$345,2,0),IFERROR(VLOOKUP($I343,'Privacy Analyst Evaluation'!$A$46:$F$120,2,0),""))</f>
        <v/>
      </c>
      <c r="K343" s="209" t="str">
        <f>IFERROR(VLOOKUP($I343,'Institution Evaluation'!$A$55:$F$345,3,0),IFERROR(VLOOKUP($I343,'Privacy Analyst Evaluation'!$A$46:$F$120,3,0),""))&amp;""</f>
        <v/>
      </c>
      <c r="L343" s="209" t="str">
        <f>IFERROR(VLOOKUP($I343,'Institution Evaluation'!$A$55:$F$345,4,0),IFERROR(VLOOKUP($I343,'Privacy Analyst Evaluation'!$A$46:$F$120,4,0),""))&amp;""</f>
        <v/>
      </c>
      <c r="M343" s="209" t="str">
        <f>IFERROR(VLOOKUP($I343,'Institution Evaluation'!$A$55:$F$345,6,0),IFERROR(VLOOKUP($I343,'Privacy Analyst Evaluation'!$A$46:$F$120,6,0),""))&amp;""</f>
        <v/>
      </c>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c r="IQ343"/>
      <c r="IR343"/>
      <c r="IS343"/>
      <c r="IT343"/>
      <c r="IU343"/>
      <c r="IV343"/>
      <c r="IW343"/>
      <c r="IX343"/>
      <c r="IY343"/>
      <c r="IZ343"/>
      <c r="JA343"/>
      <c r="JB343"/>
      <c r="JC343"/>
      <c r="JD343"/>
      <c r="JE343"/>
      <c r="JF343"/>
      <c r="JG343"/>
      <c r="JH343"/>
      <c r="JI343"/>
      <c r="JJ343"/>
      <c r="JK343"/>
      <c r="JL343"/>
      <c r="JM343"/>
      <c r="JN343"/>
      <c r="JO343"/>
      <c r="JP343"/>
      <c r="JQ343"/>
      <c r="JR343"/>
      <c r="JS343"/>
      <c r="JT343"/>
      <c r="JU343"/>
      <c r="JV343"/>
      <c r="JW343"/>
      <c r="JX343"/>
      <c r="JY343"/>
      <c r="JZ343"/>
      <c r="KA343"/>
      <c r="KB343"/>
      <c r="KC343"/>
      <c r="KD343"/>
      <c r="KE343"/>
      <c r="KF343"/>
      <c r="KG343"/>
      <c r="KH343"/>
      <c r="KI343"/>
      <c r="KJ343"/>
      <c r="KK343"/>
      <c r="KL343"/>
      <c r="KM343"/>
      <c r="KN343"/>
      <c r="KO343"/>
      <c r="KP343"/>
      <c r="KQ343"/>
      <c r="KR343"/>
      <c r="KS343"/>
      <c r="KT343"/>
      <c r="KU343"/>
      <c r="KV343"/>
      <c r="KW343"/>
      <c r="KX343"/>
      <c r="KY343"/>
      <c r="KZ343"/>
      <c r="LA343"/>
      <c r="LB343"/>
      <c r="LC343"/>
      <c r="LD343"/>
      <c r="LE343"/>
      <c r="LF343"/>
      <c r="LG343"/>
      <c r="LH343"/>
      <c r="LI343"/>
      <c r="LJ343"/>
      <c r="LK343"/>
      <c r="LL343"/>
      <c r="LM343"/>
      <c r="LN343"/>
      <c r="LO343"/>
      <c r="LP343"/>
      <c r="LQ343"/>
      <c r="LR343"/>
      <c r="LS343"/>
      <c r="LT343"/>
      <c r="LU343"/>
      <c r="LV343"/>
      <c r="LW343"/>
      <c r="LX343"/>
      <c r="LY343"/>
      <c r="LZ343"/>
    </row>
    <row r="344" spans="1:338" x14ac:dyDescent="0.3">
      <c r="A344" s="209" t="str">
        <f>IFERROR(IF($A343+1&gt;'(backend scoring)'!$T$335,"",$A343+1),"")</f>
        <v/>
      </c>
      <c r="B344" s="209" t="str">
        <f>_xlfn.XLOOKUP($A344,'(backend scoring)'!$V$2:$V$333,'(backend scoring)'!$A$2:$A$333,"")</f>
        <v/>
      </c>
      <c r="C344" s="209" t="str">
        <f>IFERROR(VLOOKUP($B344,'Institution Evaluation'!$A$55:$F$345,2,0),IFERROR(VLOOKUP($B344,'Privacy Analyst Evaluation'!$A$46:$F$120,2,0),""))&amp;""</f>
        <v/>
      </c>
      <c r="D344" s="209" t="str">
        <f>IFERROR(VLOOKUP($B344,'Institution Evaluation'!$A$55:$F$345,3,0),IFERROR(VLOOKUP($B344,'Privacy Analyst Evaluation'!$A$46:$F$120,3,0),""))&amp;""</f>
        <v/>
      </c>
      <c r="E344" s="209" t="str">
        <f>IFERROR(VLOOKUP($B344,'Institution Evaluation'!$A$55:$F$345,4,0),IFERROR(VLOOKUP($B344,'Privacy Analyst Evaluation'!$A$46:$F$120,4,0),""))&amp;""</f>
        <v/>
      </c>
      <c r="F344" s="209" t="str">
        <f>IFERROR(VLOOKUP($B344,'Institution Evaluation'!$A$55:$F$345,6,0),IFERROR(VLOOKUP($B344,'Privacy Analyst Evaluation'!$A$46:$F$120,6,0),""))&amp;""</f>
        <v/>
      </c>
      <c r="G344" s="210"/>
      <c r="H344" s="209" t="str">
        <f>IFERROR(IF($H343+1&gt;'(backend scoring)'!$Q$335,"",$H343+1),"")</f>
        <v/>
      </c>
      <c r="I344" s="209" t="str">
        <f>_xlfn.XLOOKUP($H344,'(backend scoring)'!$S$2:$S$333,'(backend scoring)'!$A$2:$A$333,"")</f>
        <v/>
      </c>
      <c r="J344" s="209" t="str">
        <f>IFERROR(VLOOKUP($I344,'Institution Evaluation'!$A$55:$F$345,2,0),IFERROR(VLOOKUP($I344,'Privacy Analyst Evaluation'!$A$46:$F$120,2,0),""))</f>
        <v/>
      </c>
      <c r="K344" s="209" t="str">
        <f>IFERROR(VLOOKUP($I344,'Institution Evaluation'!$A$55:$F$345,3,0),IFERROR(VLOOKUP($I344,'Privacy Analyst Evaluation'!$A$46:$F$120,3,0),""))&amp;""</f>
        <v/>
      </c>
      <c r="L344" s="209" t="str">
        <f>IFERROR(VLOOKUP($I344,'Institution Evaluation'!$A$55:$F$345,4,0),IFERROR(VLOOKUP($I344,'Privacy Analyst Evaluation'!$A$46:$F$120,4,0),""))&amp;""</f>
        <v/>
      </c>
      <c r="M344" s="209" t="str">
        <f>IFERROR(VLOOKUP($I344,'Institution Evaluation'!$A$55:$F$345,6,0),IFERROR(VLOOKUP($I344,'Privacy Analyst Evaluation'!$A$46:$F$120,6,0),""))&amp;""</f>
        <v/>
      </c>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c r="HM344"/>
      <c r="HN344"/>
      <c r="HO344"/>
      <c r="HP344"/>
      <c r="HQ344"/>
      <c r="HR344"/>
      <c r="HS344"/>
      <c r="HT344"/>
      <c r="HU344"/>
      <c r="HV344"/>
      <c r="HW344"/>
      <c r="HX344"/>
      <c r="HY344"/>
      <c r="HZ344"/>
      <c r="IA344"/>
      <c r="IB344"/>
      <c r="IC344"/>
      <c r="ID344"/>
      <c r="IE344"/>
      <c r="IF344"/>
      <c r="IG344"/>
      <c r="IH344"/>
      <c r="II344"/>
      <c r="IJ344"/>
      <c r="IK344"/>
      <c r="IL344"/>
      <c r="IM344"/>
      <c r="IN344"/>
      <c r="IO344"/>
      <c r="IP344"/>
      <c r="IQ344"/>
      <c r="IR344"/>
      <c r="IS344"/>
      <c r="IT344"/>
      <c r="IU344"/>
      <c r="IV344"/>
      <c r="IW344"/>
      <c r="IX344"/>
      <c r="IY344"/>
      <c r="IZ344"/>
      <c r="JA344"/>
      <c r="JB344"/>
      <c r="JC344"/>
      <c r="JD344"/>
      <c r="JE344"/>
      <c r="JF344"/>
      <c r="JG344"/>
      <c r="JH344"/>
      <c r="JI344"/>
      <c r="JJ344"/>
      <c r="JK344"/>
      <c r="JL344"/>
      <c r="JM344"/>
      <c r="JN344"/>
      <c r="JO344"/>
      <c r="JP344"/>
      <c r="JQ344"/>
      <c r="JR344"/>
      <c r="JS344"/>
      <c r="JT344"/>
      <c r="JU344"/>
      <c r="JV344"/>
      <c r="JW344"/>
      <c r="JX344"/>
      <c r="JY344"/>
      <c r="JZ344"/>
      <c r="KA344"/>
      <c r="KB344"/>
      <c r="KC344"/>
      <c r="KD344"/>
      <c r="KE344"/>
      <c r="KF344"/>
      <c r="KG344"/>
      <c r="KH344"/>
      <c r="KI344"/>
      <c r="KJ344"/>
      <c r="KK344"/>
      <c r="KL344"/>
      <c r="KM344"/>
      <c r="KN344"/>
      <c r="KO344"/>
      <c r="KP344"/>
      <c r="KQ344"/>
      <c r="KR344"/>
      <c r="KS344"/>
      <c r="KT344"/>
      <c r="KU344"/>
      <c r="KV344"/>
      <c r="KW344"/>
      <c r="KX344"/>
      <c r="KY344"/>
      <c r="KZ344"/>
      <c r="LA344"/>
      <c r="LB344"/>
      <c r="LC344"/>
      <c r="LD344"/>
      <c r="LE344"/>
      <c r="LF344"/>
      <c r="LG344"/>
      <c r="LH344"/>
      <c r="LI344"/>
      <c r="LJ344"/>
      <c r="LK344"/>
      <c r="LL344"/>
      <c r="LM344"/>
      <c r="LN344"/>
      <c r="LO344"/>
      <c r="LP344"/>
      <c r="LQ344"/>
      <c r="LR344"/>
      <c r="LS344"/>
      <c r="LT344"/>
      <c r="LU344"/>
      <c r="LV344"/>
      <c r="LW344"/>
      <c r="LX344"/>
      <c r="LY344"/>
      <c r="LZ344"/>
    </row>
    <row r="345" spans="1:338" x14ac:dyDescent="0.3">
      <c r="A345" s="209" t="str">
        <f>IFERROR(IF($A344+1&gt;'(backend scoring)'!$T$335,"",$A344+1),"")</f>
        <v/>
      </c>
      <c r="B345" s="209" t="str">
        <f>_xlfn.XLOOKUP($A345,'(backend scoring)'!$V$2:$V$333,'(backend scoring)'!$A$2:$A$333,"")</f>
        <v/>
      </c>
      <c r="C345" s="209" t="str">
        <f>IFERROR(VLOOKUP($B345,'Institution Evaluation'!$A$55:$F$345,2,0),IFERROR(VLOOKUP($B345,'Privacy Analyst Evaluation'!$A$46:$F$120,2,0),""))&amp;""</f>
        <v/>
      </c>
      <c r="D345" s="209" t="str">
        <f>IFERROR(VLOOKUP($B345,'Institution Evaluation'!$A$55:$F$345,3,0),IFERROR(VLOOKUP($B345,'Privacy Analyst Evaluation'!$A$46:$F$120,3,0),""))&amp;""</f>
        <v/>
      </c>
      <c r="E345" s="209" t="str">
        <f>IFERROR(VLOOKUP($B345,'Institution Evaluation'!$A$55:$F$345,4,0),IFERROR(VLOOKUP($B345,'Privacy Analyst Evaluation'!$A$46:$F$120,4,0),""))&amp;""</f>
        <v/>
      </c>
      <c r="F345" s="209" t="str">
        <f>IFERROR(VLOOKUP($B345,'Institution Evaluation'!$A$55:$F$345,6,0),IFERROR(VLOOKUP($B345,'Privacy Analyst Evaluation'!$A$46:$F$120,6,0),""))&amp;""</f>
        <v/>
      </c>
      <c r="G345" s="210"/>
      <c r="H345" s="209" t="str">
        <f>IFERROR(IF($H344+1&gt;'(backend scoring)'!$Q$335,"",$H344+1),"")</f>
        <v/>
      </c>
      <c r="I345" s="209" t="str">
        <f>_xlfn.XLOOKUP($H345,'(backend scoring)'!$S$2:$S$333,'(backend scoring)'!$A$2:$A$333,"")</f>
        <v/>
      </c>
      <c r="J345" s="209" t="str">
        <f>IFERROR(VLOOKUP($I345,'Institution Evaluation'!$A$55:$F$345,2,0),IFERROR(VLOOKUP($I345,'Privacy Analyst Evaluation'!$A$46:$F$120,2,0),""))</f>
        <v/>
      </c>
      <c r="K345" s="209" t="str">
        <f>IFERROR(VLOOKUP($I345,'Institution Evaluation'!$A$55:$F$345,3,0),IFERROR(VLOOKUP($I345,'Privacy Analyst Evaluation'!$A$46:$F$120,3,0),""))&amp;""</f>
        <v/>
      </c>
      <c r="L345" s="209" t="str">
        <f>IFERROR(VLOOKUP($I345,'Institution Evaluation'!$A$55:$F$345,4,0),IFERROR(VLOOKUP($I345,'Privacy Analyst Evaluation'!$A$46:$F$120,4,0),""))&amp;""</f>
        <v/>
      </c>
      <c r="M345" s="209" t="str">
        <f>IFERROR(VLOOKUP($I345,'Institution Evaluation'!$A$55:$F$345,6,0),IFERROR(VLOOKUP($I345,'Privacy Analyst Evaluation'!$A$46:$F$120,6,0),""))&amp;""</f>
        <v/>
      </c>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c r="IU345"/>
      <c r="IV345"/>
      <c r="IW345"/>
      <c r="IX345"/>
      <c r="IY345"/>
      <c r="IZ345"/>
      <c r="JA345"/>
      <c r="JB345"/>
      <c r="JC345"/>
      <c r="JD345"/>
      <c r="JE345"/>
      <c r="JF345"/>
      <c r="JG345"/>
      <c r="JH345"/>
      <c r="JI345"/>
      <c r="JJ345"/>
      <c r="JK345"/>
      <c r="JL345"/>
      <c r="JM345"/>
      <c r="JN345"/>
      <c r="JO345"/>
      <c r="JP345"/>
      <c r="JQ345"/>
      <c r="JR345"/>
      <c r="JS345"/>
      <c r="JT345"/>
      <c r="JU345"/>
      <c r="JV345"/>
      <c r="JW345"/>
      <c r="JX345"/>
      <c r="JY345"/>
      <c r="JZ345"/>
      <c r="KA345"/>
      <c r="KB345"/>
      <c r="KC345"/>
      <c r="KD345"/>
      <c r="KE345"/>
      <c r="KF345"/>
      <c r="KG345"/>
      <c r="KH345"/>
      <c r="KI345"/>
      <c r="KJ345"/>
      <c r="KK345"/>
      <c r="KL345"/>
      <c r="KM345"/>
      <c r="KN345"/>
      <c r="KO345"/>
      <c r="KP345"/>
      <c r="KQ345"/>
      <c r="KR345"/>
      <c r="KS345"/>
      <c r="KT345"/>
      <c r="KU345"/>
      <c r="KV345"/>
      <c r="KW345"/>
      <c r="KX345"/>
      <c r="KY345"/>
      <c r="KZ345"/>
      <c r="LA345"/>
      <c r="LB345"/>
      <c r="LC345"/>
      <c r="LD345"/>
      <c r="LE345"/>
      <c r="LF345"/>
      <c r="LG345"/>
      <c r="LH345"/>
      <c r="LI345"/>
      <c r="LJ345"/>
      <c r="LK345"/>
      <c r="LL345"/>
      <c r="LM345"/>
      <c r="LN345"/>
      <c r="LO345"/>
      <c r="LP345"/>
      <c r="LQ345"/>
      <c r="LR345"/>
      <c r="LS345"/>
      <c r="LT345"/>
      <c r="LU345"/>
      <c r="LV345"/>
      <c r="LW345"/>
      <c r="LX345"/>
      <c r="LY345"/>
      <c r="LZ345"/>
    </row>
    <row r="346" spans="1:338" x14ac:dyDescent="0.3">
      <c r="A346" s="209" t="str">
        <f>IFERROR(IF($A345+1&gt;'(backend scoring)'!$T$335,"",$A345+1),"")</f>
        <v/>
      </c>
      <c r="B346" s="209" t="str">
        <f>_xlfn.XLOOKUP($A346,'(backend scoring)'!$V$2:$V$333,'(backend scoring)'!$A$2:$A$333,"")</f>
        <v/>
      </c>
      <c r="C346" s="209" t="str">
        <f>IFERROR(VLOOKUP($B346,'Institution Evaluation'!$A$55:$F$345,2,0),IFERROR(VLOOKUP($B346,'Privacy Analyst Evaluation'!$A$46:$F$120,2,0),""))&amp;""</f>
        <v/>
      </c>
      <c r="D346" s="209" t="str">
        <f>IFERROR(VLOOKUP($B346,'Institution Evaluation'!$A$55:$F$345,3,0),IFERROR(VLOOKUP($B346,'Privacy Analyst Evaluation'!$A$46:$F$120,3,0),""))&amp;""</f>
        <v/>
      </c>
      <c r="E346" s="209" t="str">
        <f>IFERROR(VLOOKUP($B346,'Institution Evaluation'!$A$55:$F$345,4,0),IFERROR(VLOOKUP($B346,'Privacy Analyst Evaluation'!$A$46:$F$120,4,0),""))&amp;""</f>
        <v/>
      </c>
      <c r="F346" s="209" t="str">
        <f>IFERROR(VLOOKUP($B346,'Institution Evaluation'!$A$55:$F$345,6,0),IFERROR(VLOOKUP($B346,'Privacy Analyst Evaluation'!$A$46:$F$120,6,0),""))&amp;""</f>
        <v/>
      </c>
      <c r="G346" s="210"/>
      <c r="H346" s="209" t="str">
        <f>IFERROR(IF($H345+1&gt;'(backend scoring)'!$Q$335,"",$H345+1),"")</f>
        <v/>
      </c>
      <c r="I346" s="209" t="str">
        <f>_xlfn.XLOOKUP($H346,'(backend scoring)'!$S$2:$S$333,'(backend scoring)'!$A$2:$A$333,"")</f>
        <v/>
      </c>
      <c r="J346" s="209" t="str">
        <f>IFERROR(VLOOKUP($I346,'Institution Evaluation'!$A$55:$F$345,2,0),IFERROR(VLOOKUP($I346,'Privacy Analyst Evaluation'!$A$46:$F$120,2,0),""))</f>
        <v/>
      </c>
      <c r="K346" s="209" t="str">
        <f>IFERROR(VLOOKUP($I346,'Institution Evaluation'!$A$55:$F$345,3,0),IFERROR(VLOOKUP($I346,'Privacy Analyst Evaluation'!$A$46:$F$120,3,0),""))&amp;""</f>
        <v/>
      </c>
      <c r="L346" s="209" t="str">
        <f>IFERROR(VLOOKUP($I346,'Institution Evaluation'!$A$55:$F$345,4,0),IFERROR(VLOOKUP($I346,'Privacy Analyst Evaluation'!$A$46:$F$120,4,0),""))&amp;""</f>
        <v/>
      </c>
      <c r="M346" s="209" t="str">
        <f>IFERROR(VLOOKUP($I346,'Institution Evaluation'!$A$55:$F$345,6,0),IFERROR(VLOOKUP($I346,'Privacy Analyst Evaluation'!$A$46:$F$120,6,0),""))&amp;""</f>
        <v/>
      </c>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c r="IQ346"/>
      <c r="IR346"/>
      <c r="IS346"/>
      <c r="IT346"/>
      <c r="IU346"/>
      <c r="IV346"/>
      <c r="IW346"/>
      <c r="IX346"/>
      <c r="IY346"/>
      <c r="IZ346"/>
      <c r="JA346"/>
      <c r="JB346"/>
      <c r="JC346"/>
      <c r="JD346"/>
      <c r="JE346"/>
      <c r="JF346"/>
      <c r="JG346"/>
      <c r="JH346"/>
      <c r="JI346"/>
      <c r="JJ346"/>
      <c r="JK346"/>
      <c r="JL346"/>
      <c r="JM346"/>
      <c r="JN346"/>
      <c r="JO346"/>
      <c r="JP346"/>
      <c r="JQ346"/>
      <c r="JR346"/>
      <c r="JS346"/>
      <c r="JT346"/>
      <c r="JU346"/>
      <c r="JV346"/>
      <c r="JW346"/>
      <c r="JX346"/>
      <c r="JY346"/>
      <c r="JZ346"/>
      <c r="KA346"/>
      <c r="KB346"/>
      <c r="KC346"/>
      <c r="KD346"/>
      <c r="KE346"/>
      <c r="KF346"/>
      <c r="KG346"/>
      <c r="KH346"/>
      <c r="KI346"/>
      <c r="KJ346"/>
      <c r="KK346"/>
      <c r="KL346"/>
      <c r="KM346"/>
      <c r="KN346"/>
      <c r="KO346"/>
      <c r="KP346"/>
      <c r="KQ346"/>
      <c r="KR346"/>
      <c r="KS346"/>
      <c r="KT346"/>
      <c r="KU346"/>
      <c r="KV346"/>
      <c r="KW346"/>
      <c r="KX346"/>
      <c r="KY346"/>
      <c r="KZ346"/>
      <c r="LA346"/>
      <c r="LB346"/>
      <c r="LC346"/>
      <c r="LD346"/>
      <c r="LE346"/>
      <c r="LF346"/>
      <c r="LG346"/>
      <c r="LH346"/>
      <c r="LI346"/>
      <c r="LJ346"/>
      <c r="LK346"/>
      <c r="LL346"/>
      <c r="LM346"/>
      <c r="LN346"/>
      <c r="LO346"/>
      <c r="LP346"/>
      <c r="LQ346"/>
      <c r="LR346"/>
      <c r="LS346"/>
      <c r="LT346"/>
      <c r="LU346"/>
      <c r="LV346"/>
      <c r="LW346"/>
      <c r="LX346"/>
      <c r="LY346"/>
      <c r="LZ346"/>
    </row>
    <row r="347" spans="1:338" x14ac:dyDescent="0.3">
      <c r="A347" s="209" t="str">
        <f>IFERROR(IF($A346+1&gt;'(backend scoring)'!$T$335,"",$A346+1),"")</f>
        <v/>
      </c>
      <c r="B347" s="209" t="str">
        <f>_xlfn.XLOOKUP($A347,'(backend scoring)'!$V$2:$V$333,'(backend scoring)'!$A$2:$A$333,"")</f>
        <v/>
      </c>
      <c r="C347" s="209" t="str">
        <f>IFERROR(VLOOKUP($B347,'Institution Evaluation'!$A$55:$F$345,2,0),IFERROR(VLOOKUP($B347,'Privacy Analyst Evaluation'!$A$46:$F$120,2,0),""))&amp;""</f>
        <v/>
      </c>
      <c r="D347" s="209" t="str">
        <f>IFERROR(VLOOKUP($B347,'Institution Evaluation'!$A$55:$F$345,3,0),IFERROR(VLOOKUP($B347,'Privacy Analyst Evaluation'!$A$46:$F$120,3,0),""))&amp;""</f>
        <v/>
      </c>
      <c r="E347" s="209" t="str">
        <f>IFERROR(VLOOKUP($B347,'Institution Evaluation'!$A$55:$F$345,4,0),IFERROR(VLOOKUP($B347,'Privacy Analyst Evaluation'!$A$46:$F$120,4,0),""))&amp;""</f>
        <v/>
      </c>
      <c r="F347" s="209" t="str">
        <f>IFERROR(VLOOKUP($B347,'Institution Evaluation'!$A$55:$F$345,6,0),IFERROR(VLOOKUP($B347,'Privacy Analyst Evaluation'!$A$46:$F$120,6,0),""))&amp;""</f>
        <v/>
      </c>
      <c r="G347" s="210"/>
      <c r="H347" s="209" t="str">
        <f>IFERROR(IF($H346+1&gt;'(backend scoring)'!$Q$335,"",$H346+1),"")</f>
        <v/>
      </c>
      <c r="I347" s="209" t="str">
        <f>_xlfn.XLOOKUP($H347,'(backend scoring)'!$S$2:$S$333,'(backend scoring)'!$A$2:$A$333,"")</f>
        <v/>
      </c>
      <c r="J347" s="209" t="str">
        <f>IFERROR(VLOOKUP($I347,'Institution Evaluation'!$A$55:$F$345,2,0),IFERROR(VLOOKUP($I347,'Privacy Analyst Evaluation'!$A$46:$F$120,2,0),""))</f>
        <v/>
      </c>
      <c r="K347" s="209" t="str">
        <f>IFERROR(VLOOKUP($I347,'Institution Evaluation'!$A$55:$F$345,3,0),IFERROR(VLOOKUP($I347,'Privacy Analyst Evaluation'!$A$46:$F$120,3,0),""))&amp;""</f>
        <v/>
      </c>
      <c r="L347" s="209" t="str">
        <f>IFERROR(VLOOKUP($I347,'Institution Evaluation'!$A$55:$F$345,4,0),IFERROR(VLOOKUP($I347,'Privacy Analyst Evaluation'!$A$46:$F$120,4,0),""))&amp;""</f>
        <v/>
      </c>
      <c r="M347" s="209" t="str">
        <f>IFERROR(VLOOKUP($I347,'Institution Evaluation'!$A$55:$F$345,6,0),IFERROR(VLOOKUP($I347,'Privacy Analyst Evaluation'!$A$46:$F$120,6,0),""))&amp;""</f>
        <v/>
      </c>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c r="II347"/>
      <c r="IJ347"/>
      <c r="IK347"/>
      <c r="IL347"/>
      <c r="IM347"/>
      <c r="IN347"/>
      <c r="IO347"/>
      <c r="IP347"/>
      <c r="IQ347"/>
      <c r="IR347"/>
      <c r="IS347"/>
      <c r="IT347"/>
      <c r="IU347"/>
      <c r="IV347"/>
      <c r="IW347"/>
      <c r="IX347"/>
      <c r="IY347"/>
      <c r="IZ347"/>
      <c r="JA347"/>
      <c r="JB347"/>
      <c r="JC347"/>
      <c r="JD347"/>
      <c r="JE347"/>
      <c r="JF347"/>
      <c r="JG347"/>
      <c r="JH347"/>
      <c r="JI347"/>
      <c r="JJ347"/>
      <c r="JK347"/>
      <c r="JL347"/>
      <c r="JM347"/>
      <c r="JN347"/>
      <c r="JO347"/>
      <c r="JP347"/>
      <c r="JQ347"/>
      <c r="JR347"/>
      <c r="JS347"/>
      <c r="JT347"/>
      <c r="JU347"/>
      <c r="JV347"/>
      <c r="JW347"/>
      <c r="JX347"/>
      <c r="JY347"/>
      <c r="JZ347"/>
      <c r="KA347"/>
      <c r="KB347"/>
      <c r="KC347"/>
      <c r="KD347"/>
      <c r="KE347"/>
      <c r="KF347"/>
      <c r="KG347"/>
      <c r="KH347"/>
      <c r="KI347"/>
      <c r="KJ347"/>
      <c r="KK347"/>
      <c r="KL347"/>
      <c r="KM347"/>
      <c r="KN347"/>
      <c r="KO347"/>
      <c r="KP347"/>
      <c r="KQ347"/>
      <c r="KR347"/>
      <c r="KS347"/>
      <c r="KT347"/>
      <c r="KU347"/>
      <c r="KV347"/>
      <c r="KW347"/>
      <c r="KX347"/>
      <c r="KY347"/>
      <c r="KZ347"/>
      <c r="LA347"/>
      <c r="LB347"/>
      <c r="LC347"/>
      <c r="LD347"/>
      <c r="LE347"/>
      <c r="LF347"/>
      <c r="LG347"/>
      <c r="LH347"/>
      <c r="LI347"/>
      <c r="LJ347"/>
      <c r="LK347"/>
      <c r="LL347"/>
      <c r="LM347"/>
      <c r="LN347"/>
      <c r="LO347"/>
      <c r="LP347"/>
      <c r="LQ347"/>
      <c r="LR347"/>
      <c r="LS347"/>
      <c r="LT347"/>
      <c r="LU347"/>
      <c r="LV347"/>
      <c r="LW347"/>
      <c r="LX347"/>
      <c r="LY347"/>
      <c r="LZ347"/>
    </row>
    <row r="348" spans="1:338" x14ac:dyDescent="0.3">
      <c r="A348" s="209" t="str">
        <f>IFERROR(IF($A347+1&gt;'(backend scoring)'!$T$335,"",$A347+1),"")</f>
        <v/>
      </c>
      <c r="B348" s="209" t="str">
        <f>_xlfn.XLOOKUP($A348,'(backend scoring)'!$V$2:$V$333,'(backend scoring)'!$A$2:$A$333,"")</f>
        <v/>
      </c>
      <c r="C348" s="209" t="str">
        <f>IFERROR(VLOOKUP($B348,'Institution Evaluation'!$A$55:$F$345,2,0),IFERROR(VLOOKUP($B348,'Privacy Analyst Evaluation'!$A$46:$F$120,2,0),""))&amp;""</f>
        <v/>
      </c>
      <c r="D348" s="209" t="str">
        <f>IFERROR(VLOOKUP($B348,'Institution Evaluation'!$A$55:$F$345,3,0),IFERROR(VLOOKUP($B348,'Privacy Analyst Evaluation'!$A$46:$F$120,3,0),""))&amp;""</f>
        <v/>
      </c>
      <c r="E348" s="209" t="str">
        <f>IFERROR(VLOOKUP($B348,'Institution Evaluation'!$A$55:$F$345,4,0),IFERROR(VLOOKUP($B348,'Privacy Analyst Evaluation'!$A$46:$F$120,4,0),""))&amp;""</f>
        <v/>
      </c>
      <c r="F348" s="209" t="str">
        <f>IFERROR(VLOOKUP($B348,'Institution Evaluation'!$A$55:$F$345,6,0),IFERROR(VLOOKUP($B348,'Privacy Analyst Evaluation'!$A$46:$F$120,6,0),""))&amp;""</f>
        <v/>
      </c>
      <c r="G348" s="210"/>
      <c r="H348" s="209" t="str">
        <f>IFERROR(IF($H347+1&gt;'(backend scoring)'!$Q$335,"",$H347+1),"")</f>
        <v/>
      </c>
      <c r="I348" s="209" t="str">
        <f>_xlfn.XLOOKUP($H348,'(backend scoring)'!$S$2:$S$333,'(backend scoring)'!$A$2:$A$333,"")</f>
        <v/>
      </c>
      <c r="J348" s="209" t="str">
        <f>IFERROR(VLOOKUP($I348,'Institution Evaluation'!$A$55:$F$345,2,0),IFERROR(VLOOKUP($I348,'Privacy Analyst Evaluation'!$A$46:$F$120,2,0),""))</f>
        <v/>
      </c>
      <c r="K348" s="209" t="str">
        <f>IFERROR(VLOOKUP($I348,'Institution Evaluation'!$A$55:$F$345,3,0),IFERROR(VLOOKUP($I348,'Privacy Analyst Evaluation'!$A$46:$F$120,3,0),""))&amp;""</f>
        <v/>
      </c>
      <c r="L348" s="209" t="str">
        <f>IFERROR(VLOOKUP($I348,'Institution Evaluation'!$A$55:$F$345,4,0),IFERROR(VLOOKUP($I348,'Privacy Analyst Evaluation'!$A$46:$F$120,4,0),""))&amp;""</f>
        <v/>
      </c>
      <c r="M348" s="209" t="str">
        <f>IFERROR(VLOOKUP($I348,'Institution Evaluation'!$A$55:$F$345,6,0),IFERROR(VLOOKUP($I348,'Privacy Analyst Evaluation'!$A$46:$F$120,6,0),""))&amp;""</f>
        <v/>
      </c>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c r="IP348"/>
      <c r="IQ348"/>
      <c r="IR348"/>
      <c r="IS348"/>
      <c r="IT348"/>
      <c r="IU348"/>
      <c r="IV348"/>
      <c r="IW348"/>
      <c r="IX348"/>
      <c r="IY348"/>
      <c r="IZ348"/>
      <c r="JA348"/>
      <c r="JB348"/>
      <c r="JC348"/>
      <c r="JD348"/>
      <c r="JE348"/>
      <c r="JF348"/>
      <c r="JG348"/>
      <c r="JH348"/>
      <c r="JI348"/>
      <c r="JJ348"/>
      <c r="JK348"/>
      <c r="JL348"/>
      <c r="JM348"/>
      <c r="JN348"/>
      <c r="JO348"/>
      <c r="JP348"/>
      <c r="JQ348"/>
      <c r="JR348"/>
      <c r="JS348"/>
      <c r="JT348"/>
      <c r="JU348"/>
      <c r="JV348"/>
      <c r="JW348"/>
      <c r="JX348"/>
      <c r="JY348"/>
      <c r="JZ348"/>
      <c r="KA348"/>
      <c r="KB348"/>
      <c r="KC348"/>
      <c r="KD348"/>
      <c r="KE348"/>
      <c r="KF348"/>
      <c r="KG348"/>
      <c r="KH348"/>
      <c r="KI348"/>
      <c r="KJ348"/>
      <c r="KK348"/>
      <c r="KL348"/>
      <c r="KM348"/>
      <c r="KN348"/>
      <c r="KO348"/>
      <c r="KP348"/>
      <c r="KQ348"/>
      <c r="KR348"/>
      <c r="KS348"/>
      <c r="KT348"/>
      <c r="KU348"/>
      <c r="KV348"/>
      <c r="KW348"/>
      <c r="KX348"/>
      <c r="KY348"/>
      <c r="KZ348"/>
      <c r="LA348"/>
      <c r="LB348"/>
      <c r="LC348"/>
      <c r="LD348"/>
      <c r="LE348"/>
      <c r="LF348"/>
      <c r="LG348"/>
      <c r="LH348"/>
      <c r="LI348"/>
      <c r="LJ348"/>
      <c r="LK348"/>
      <c r="LL348"/>
      <c r="LM348"/>
      <c r="LN348"/>
      <c r="LO348"/>
      <c r="LP348"/>
      <c r="LQ348"/>
      <c r="LR348"/>
      <c r="LS348"/>
      <c r="LT348"/>
      <c r="LU348"/>
      <c r="LV348"/>
      <c r="LW348"/>
      <c r="LX348"/>
      <c r="LY348"/>
      <c r="LZ348"/>
    </row>
    <row r="349" spans="1:338" x14ac:dyDescent="0.3">
      <c r="A349" s="209" t="str">
        <f>IFERROR(IF($A348+1&gt;'(backend scoring)'!$T$335,"",$A348+1),"")</f>
        <v/>
      </c>
      <c r="B349" s="209" t="str">
        <f>_xlfn.XLOOKUP($A349,'(backend scoring)'!$V$2:$V$333,'(backend scoring)'!$A$2:$A$333,"")</f>
        <v/>
      </c>
      <c r="C349" s="209" t="str">
        <f>IFERROR(VLOOKUP($B349,'Institution Evaluation'!$A$55:$F$345,2,0),IFERROR(VLOOKUP($B349,'Privacy Analyst Evaluation'!$A$46:$F$120,2,0),""))&amp;""</f>
        <v/>
      </c>
      <c r="D349" s="209" t="str">
        <f>IFERROR(VLOOKUP($B349,'Institution Evaluation'!$A$55:$F$345,3,0),IFERROR(VLOOKUP($B349,'Privacy Analyst Evaluation'!$A$46:$F$120,3,0),""))&amp;""</f>
        <v/>
      </c>
      <c r="E349" s="209" t="str">
        <f>IFERROR(VLOOKUP($B349,'Institution Evaluation'!$A$55:$F$345,4,0),IFERROR(VLOOKUP($B349,'Privacy Analyst Evaluation'!$A$46:$F$120,4,0),""))&amp;""</f>
        <v/>
      </c>
      <c r="F349" s="209" t="str">
        <f>IFERROR(VLOOKUP($B349,'Institution Evaluation'!$A$55:$F$345,6,0),IFERROR(VLOOKUP($B349,'Privacy Analyst Evaluation'!$A$46:$F$120,6,0),""))&amp;""</f>
        <v/>
      </c>
      <c r="G349" s="210"/>
      <c r="H349" s="209" t="str">
        <f>IFERROR(IF($H348+1&gt;'(backend scoring)'!$Q$335,"",$H348+1),"")</f>
        <v/>
      </c>
      <c r="I349" s="209" t="str">
        <f>_xlfn.XLOOKUP($H349,'(backend scoring)'!$S$2:$S$333,'(backend scoring)'!$A$2:$A$333,"")</f>
        <v/>
      </c>
      <c r="J349" s="209" t="str">
        <f>IFERROR(VLOOKUP($I349,'Institution Evaluation'!$A$55:$F$345,2,0),IFERROR(VLOOKUP($I349,'Privacy Analyst Evaluation'!$A$46:$F$120,2,0),""))</f>
        <v/>
      </c>
      <c r="K349" s="209" t="str">
        <f>IFERROR(VLOOKUP($I349,'Institution Evaluation'!$A$55:$F$345,3,0),IFERROR(VLOOKUP($I349,'Privacy Analyst Evaluation'!$A$46:$F$120,3,0),""))&amp;""</f>
        <v/>
      </c>
      <c r="L349" s="209" t="str">
        <f>IFERROR(VLOOKUP($I349,'Institution Evaluation'!$A$55:$F$345,4,0),IFERROR(VLOOKUP($I349,'Privacy Analyst Evaluation'!$A$46:$F$120,4,0),""))&amp;""</f>
        <v/>
      </c>
      <c r="M349" s="209" t="str">
        <f>IFERROR(VLOOKUP($I349,'Institution Evaluation'!$A$55:$F$345,6,0),IFERROR(VLOOKUP($I349,'Privacy Analyst Evaluation'!$A$46:$F$120,6,0),""))&amp;""</f>
        <v/>
      </c>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c r="HM349"/>
      <c r="HN349"/>
      <c r="HO349"/>
      <c r="HP349"/>
      <c r="HQ349"/>
      <c r="HR349"/>
      <c r="HS349"/>
      <c r="HT349"/>
      <c r="HU349"/>
      <c r="HV349"/>
      <c r="HW349"/>
      <c r="HX349"/>
      <c r="HY349"/>
      <c r="HZ349"/>
      <c r="IA349"/>
      <c r="IB349"/>
      <c r="IC349"/>
      <c r="ID349"/>
      <c r="IE349"/>
      <c r="IF349"/>
      <c r="IG349"/>
      <c r="IH349"/>
      <c r="II349"/>
      <c r="IJ349"/>
      <c r="IK349"/>
      <c r="IL349"/>
      <c r="IM349"/>
      <c r="IN349"/>
      <c r="IO349"/>
      <c r="IP349"/>
      <c r="IQ349"/>
      <c r="IR349"/>
      <c r="IS349"/>
      <c r="IT349"/>
      <c r="IU349"/>
      <c r="IV349"/>
      <c r="IW349"/>
      <c r="IX349"/>
      <c r="IY349"/>
      <c r="IZ349"/>
      <c r="JA349"/>
      <c r="JB349"/>
      <c r="JC349"/>
      <c r="JD349"/>
      <c r="JE349"/>
      <c r="JF349"/>
      <c r="JG349"/>
      <c r="JH349"/>
      <c r="JI349"/>
      <c r="JJ349"/>
      <c r="JK349"/>
      <c r="JL349"/>
      <c r="JM349"/>
      <c r="JN349"/>
      <c r="JO349"/>
      <c r="JP349"/>
      <c r="JQ349"/>
      <c r="JR349"/>
      <c r="JS349"/>
      <c r="JT349"/>
      <c r="JU349"/>
      <c r="JV349"/>
      <c r="JW349"/>
      <c r="JX349"/>
      <c r="JY349"/>
      <c r="JZ349"/>
      <c r="KA349"/>
      <c r="KB349"/>
      <c r="KC349"/>
      <c r="KD349"/>
      <c r="KE349"/>
      <c r="KF349"/>
      <c r="KG349"/>
      <c r="KH349"/>
      <c r="KI349"/>
      <c r="KJ349"/>
      <c r="KK349"/>
      <c r="KL349"/>
      <c r="KM349"/>
      <c r="KN349"/>
      <c r="KO349"/>
      <c r="KP349"/>
      <c r="KQ349"/>
      <c r="KR349"/>
      <c r="KS349"/>
      <c r="KT349"/>
      <c r="KU349"/>
      <c r="KV349"/>
      <c r="KW349"/>
      <c r="KX349"/>
      <c r="KY349"/>
      <c r="KZ349"/>
      <c r="LA349"/>
      <c r="LB349"/>
      <c r="LC349"/>
      <c r="LD349"/>
      <c r="LE349"/>
      <c r="LF349"/>
      <c r="LG349"/>
      <c r="LH349"/>
      <c r="LI349"/>
      <c r="LJ349"/>
      <c r="LK349"/>
      <c r="LL349"/>
      <c r="LM349"/>
      <c r="LN349"/>
      <c r="LO349"/>
      <c r="LP349"/>
      <c r="LQ349"/>
      <c r="LR349"/>
      <c r="LS349"/>
      <c r="LT349"/>
      <c r="LU349"/>
      <c r="LV349"/>
      <c r="LW349"/>
      <c r="LX349"/>
      <c r="LY349"/>
      <c r="LZ349"/>
    </row>
    <row r="350" spans="1:338" x14ac:dyDescent="0.3">
      <c r="A350" s="209" t="str">
        <f>IFERROR(IF($A349+1&gt;'(backend scoring)'!$T$335,"",$A349+1),"")</f>
        <v/>
      </c>
      <c r="B350" s="209" t="str">
        <f>_xlfn.XLOOKUP($A350,'(backend scoring)'!$V$2:$V$333,'(backend scoring)'!$A$2:$A$333,"")</f>
        <v/>
      </c>
      <c r="C350" s="209" t="str">
        <f>IFERROR(VLOOKUP($B350,'Institution Evaluation'!$A$55:$F$345,2,0),IFERROR(VLOOKUP($B350,'Privacy Analyst Evaluation'!$A$46:$F$120,2,0),""))&amp;""</f>
        <v/>
      </c>
      <c r="D350" s="209" t="str">
        <f>IFERROR(VLOOKUP($B350,'Institution Evaluation'!$A$55:$F$345,3,0),IFERROR(VLOOKUP($B350,'Privacy Analyst Evaluation'!$A$46:$F$120,3,0),""))&amp;""</f>
        <v/>
      </c>
      <c r="E350" s="209" t="str">
        <f>IFERROR(VLOOKUP($B350,'Institution Evaluation'!$A$55:$F$345,4,0),IFERROR(VLOOKUP($B350,'Privacy Analyst Evaluation'!$A$46:$F$120,4,0),""))&amp;""</f>
        <v/>
      </c>
      <c r="F350" s="209" t="str">
        <f>IFERROR(VLOOKUP($B350,'Institution Evaluation'!$A$55:$F$345,6,0),IFERROR(VLOOKUP($B350,'Privacy Analyst Evaluation'!$A$46:$F$120,6,0),""))&amp;""</f>
        <v/>
      </c>
      <c r="G350" s="210"/>
      <c r="H350" s="209" t="str">
        <f>IFERROR(IF($H349+1&gt;'(backend scoring)'!$Q$335,"",$H349+1),"")</f>
        <v/>
      </c>
      <c r="I350" s="209" t="str">
        <f>_xlfn.XLOOKUP($H350,'(backend scoring)'!$S$2:$S$333,'(backend scoring)'!$A$2:$A$333,"")</f>
        <v/>
      </c>
      <c r="J350" s="209" t="str">
        <f>IFERROR(VLOOKUP($I350,'Institution Evaluation'!$A$55:$F$345,2,0),IFERROR(VLOOKUP($I350,'Privacy Analyst Evaluation'!$A$46:$F$120,2,0),""))</f>
        <v/>
      </c>
      <c r="K350" s="209" t="str">
        <f>IFERROR(VLOOKUP($I350,'Institution Evaluation'!$A$55:$F$345,3,0),IFERROR(VLOOKUP($I350,'Privacy Analyst Evaluation'!$A$46:$F$120,3,0),""))&amp;""</f>
        <v/>
      </c>
      <c r="L350" s="209" t="str">
        <f>IFERROR(VLOOKUP($I350,'Institution Evaluation'!$A$55:$F$345,4,0),IFERROR(VLOOKUP($I350,'Privacy Analyst Evaluation'!$A$46:$F$120,4,0),""))&amp;""</f>
        <v/>
      </c>
      <c r="M350" s="209" t="str">
        <f>IFERROR(VLOOKUP($I350,'Institution Evaluation'!$A$55:$F$345,6,0),IFERROR(VLOOKUP($I350,'Privacy Analyst Evaluation'!$A$46:$F$120,6,0),""))&amp;""</f>
        <v/>
      </c>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c r="JY350"/>
      <c r="JZ350"/>
      <c r="KA350"/>
      <c r="KB350"/>
      <c r="KC350"/>
      <c r="KD350"/>
      <c r="KE350"/>
      <c r="KF350"/>
      <c r="KG350"/>
      <c r="KH350"/>
      <c r="KI350"/>
      <c r="KJ350"/>
      <c r="KK350"/>
      <c r="KL350"/>
      <c r="KM350"/>
      <c r="KN350"/>
      <c r="KO350"/>
      <c r="KP350"/>
      <c r="KQ350"/>
      <c r="KR350"/>
      <c r="KS350"/>
      <c r="KT350"/>
      <c r="KU350"/>
      <c r="KV350"/>
      <c r="KW350"/>
      <c r="KX350"/>
      <c r="KY350"/>
      <c r="KZ350"/>
      <c r="LA350"/>
      <c r="LB350"/>
      <c r="LC350"/>
      <c r="LD350"/>
      <c r="LE350"/>
      <c r="LF350"/>
      <c r="LG350"/>
      <c r="LH350"/>
      <c r="LI350"/>
      <c r="LJ350"/>
      <c r="LK350"/>
      <c r="LL350"/>
      <c r="LM350"/>
      <c r="LN350"/>
      <c r="LO350"/>
      <c r="LP350"/>
      <c r="LQ350"/>
      <c r="LR350"/>
      <c r="LS350"/>
      <c r="LT350"/>
      <c r="LU350"/>
      <c r="LV350"/>
      <c r="LW350"/>
      <c r="LX350"/>
      <c r="LY350"/>
      <c r="LZ350"/>
    </row>
    <row r="351" spans="1:338" x14ac:dyDescent="0.3">
      <c r="A351" s="209" t="str">
        <f>IFERROR(IF($A350+1&gt;'(backend scoring)'!$T$335,"",$A350+1),"")</f>
        <v/>
      </c>
      <c r="B351" s="209" t="str">
        <f>_xlfn.XLOOKUP($A351,'(backend scoring)'!$V$2:$V$333,'(backend scoring)'!$A$2:$A$333,"")</f>
        <v/>
      </c>
      <c r="C351" s="209" t="str">
        <f>IFERROR(VLOOKUP($B351,'Institution Evaluation'!$A$55:$F$345,2,0),IFERROR(VLOOKUP($B351,'Privacy Analyst Evaluation'!$A$46:$F$120,2,0),""))&amp;""</f>
        <v/>
      </c>
      <c r="D351" s="209" t="str">
        <f>IFERROR(VLOOKUP($B351,'Institution Evaluation'!$A$55:$F$345,3,0),IFERROR(VLOOKUP($B351,'Privacy Analyst Evaluation'!$A$46:$F$120,3,0),""))&amp;""</f>
        <v/>
      </c>
      <c r="E351" s="209" t="str">
        <f>IFERROR(VLOOKUP($B351,'Institution Evaluation'!$A$55:$F$345,4,0),IFERROR(VLOOKUP($B351,'Privacy Analyst Evaluation'!$A$46:$F$120,4,0),""))&amp;""</f>
        <v/>
      </c>
      <c r="F351" s="209" t="str">
        <f>IFERROR(VLOOKUP($B351,'Institution Evaluation'!$A$55:$F$345,6,0),IFERROR(VLOOKUP($B351,'Privacy Analyst Evaluation'!$A$46:$F$120,6,0),""))&amp;""</f>
        <v/>
      </c>
      <c r="G351" s="210"/>
      <c r="H351" s="209" t="str">
        <f>IFERROR(IF($H350+1&gt;'(backend scoring)'!$Q$335,"",$H350+1),"")</f>
        <v/>
      </c>
      <c r="I351" s="209" t="str">
        <f>_xlfn.XLOOKUP($H351,'(backend scoring)'!$S$2:$S$333,'(backend scoring)'!$A$2:$A$333,"")</f>
        <v/>
      </c>
      <c r="J351" s="209" t="str">
        <f>IFERROR(VLOOKUP($I351,'Institution Evaluation'!$A$55:$F$345,2,0),IFERROR(VLOOKUP($I351,'Privacy Analyst Evaluation'!$A$46:$F$120,2,0),""))</f>
        <v/>
      </c>
      <c r="K351" s="209" t="str">
        <f>IFERROR(VLOOKUP($I351,'Institution Evaluation'!$A$55:$F$345,3,0),IFERROR(VLOOKUP($I351,'Privacy Analyst Evaluation'!$A$46:$F$120,3,0),""))&amp;""</f>
        <v/>
      </c>
      <c r="L351" s="209" t="str">
        <f>IFERROR(VLOOKUP($I351,'Institution Evaluation'!$A$55:$F$345,4,0),IFERROR(VLOOKUP($I351,'Privacy Analyst Evaluation'!$A$46:$F$120,4,0),""))&amp;""</f>
        <v/>
      </c>
      <c r="M351" s="209" t="str">
        <f>IFERROR(VLOOKUP($I351,'Institution Evaluation'!$A$55:$F$345,6,0),IFERROR(VLOOKUP($I351,'Privacy Analyst Evaluation'!$A$46:$F$120,6,0),""))&amp;""</f>
        <v/>
      </c>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c r="JY351"/>
      <c r="JZ351"/>
      <c r="KA351"/>
      <c r="KB351"/>
      <c r="KC351"/>
      <c r="KD351"/>
      <c r="KE351"/>
      <c r="KF351"/>
      <c r="KG351"/>
      <c r="KH351"/>
      <c r="KI351"/>
      <c r="KJ351"/>
      <c r="KK351"/>
      <c r="KL351"/>
      <c r="KM351"/>
      <c r="KN351"/>
      <c r="KO351"/>
      <c r="KP351"/>
      <c r="KQ351"/>
      <c r="KR351"/>
      <c r="KS351"/>
      <c r="KT351"/>
      <c r="KU351"/>
      <c r="KV351"/>
      <c r="KW351"/>
      <c r="KX351"/>
      <c r="KY351"/>
      <c r="KZ351"/>
      <c r="LA351"/>
      <c r="LB351"/>
      <c r="LC351"/>
      <c r="LD351"/>
      <c r="LE351"/>
      <c r="LF351"/>
      <c r="LG351"/>
      <c r="LH351"/>
      <c r="LI351"/>
      <c r="LJ351"/>
      <c r="LK351"/>
      <c r="LL351"/>
      <c r="LM351"/>
      <c r="LN351"/>
      <c r="LO351"/>
      <c r="LP351"/>
      <c r="LQ351"/>
      <c r="LR351"/>
      <c r="LS351"/>
      <c r="LT351"/>
      <c r="LU351"/>
      <c r="LV351"/>
      <c r="LW351"/>
      <c r="LX351"/>
      <c r="LY351"/>
      <c r="LZ351"/>
    </row>
    <row r="352" spans="1:338" x14ac:dyDescent="0.3">
      <c r="A352" s="209" t="str">
        <f>IFERROR(IF($A351+1&gt;'(backend scoring)'!$T$335,"",$A351+1),"")</f>
        <v/>
      </c>
      <c r="B352" s="209" t="str">
        <f>_xlfn.XLOOKUP($A352,'(backend scoring)'!$V$2:$V$333,'(backend scoring)'!$A$2:$A$333,"")</f>
        <v/>
      </c>
      <c r="C352" s="209" t="str">
        <f>IFERROR(VLOOKUP($B352,'Institution Evaluation'!$A$55:$F$345,2,0),IFERROR(VLOOKUP($B352,'Privacy Analyst Evaluation'!$A$46:$F$120,2,0),""))&amp;""</f>
        <v/>
      </c>
      <c r="D352" s="209" t="str">
        <f>IFERROR(VLOOKUP($B352,'Institution Evaluation'!$A$55:$F$345,3,0),IFERROR(VLOOKUP($B352,'Privacy Analyst Evaluation'!$A$46:$F$120,3,0),""))&amp;""</f>
        <v/>
      </c>
      <c r="E352" s="209" t="str">
        <f>IFERROR(VLOOKUP($B352,'Institution Evaluation'!$A$55:$F$345,4,0),IFERROR(VLOOKUP($B352,'Privacy Analyst Evaluation'!$A$46:$F$120,4,0),""))&amp;""</f>
        <v/>
      </c>
      <c r="F352" s="209" t="str">
        <f>IFERROR(VLOOKUP($B352,'Institution Evaluation'!$A$55:$F$345,6,0),IFERROR(VLOOKUP($B352,'Privacy Analyst Evaluation'!$A$46:$F$120,6,0),""))&amp;""</f>
        <v/>
      </c>
      <c r="G352" s="210"/>
      <c r="H352" s="209" t="str">
        <f>IFERROR(IF($H351+1&gt;'(backend scoring)'!$Q$335,"",$H351+1),"")</f>
        <v/>
      </c>
      <c r="I352" s="209" t="str">
        <f>_xlfn.XLOOKUP($H352,'(backend scoring)'!$S$2:$S$333,'(backend scoring)'!$A$2:$A$333,"")</f>
        <v/>
      </c>
      <c r="J352" s="209" t="str">
        <f>IFERROR(VLOOKUP($I352,'Institution Evaluation'!$A$55:$F$345,2,0),IFERROR(VLOOKUP($I352,'Privacy Analyst Evaluation'!$A$46:$F$120,2,0),""))</f>
        <v/>
      </c>
      <c r="K352" s="209" t="str">
        <f>IFERROR(VLOOKUP($I352,'Institution Evaluation'!$A$55:$F$345,3,0),IFERROR(VLOOKUP($I352,'Privacy Analyst Evaluation'!$A$46:$F$120,3,0),""))&amp;""</f>
        <v/>
      </c>
      <c r="L352" s="209" t="str">
        <f>IFERROR(VLOOKUP($I352,'Institution Evaluation'!$A$55:$F$345,4,0),IFERROR(VLOOKUP($I352,'Privacy Analyst Evaluation'!$A$46:$F$120,4,0),""))&amp;""</f>
        <v/>
      </c>
      <c r="M352" s="209" t="str">
        <f>IFERROR(VLOOKUP($I352,'Institution Evaluation'!$A$55:$F$345,6,0),IFERROR(VLOOKUP($I352,'Privacy Analyst Evaluation'!$A$46:$F$120,6,0),""))&amp;""</f>
        <v/>
      </c>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c r="IP352"/>
      <c r="IQ352"/>
      <c r="IR352"/>
      <c r="IS352"/>
      <c r="IT352"/>
      <c r="IU352"/>
      <c r="IV352"/>
      <c r="IW352"/>
      <c r="IX352"/>
      <c r="IY352"/>
      <c r="IZ352"/>
      <c r="JA352"/>
      <c r="JB352"/>
      <c r="JC352"/>
      <c r="JD352"/>
      <c r="JE352"/>
      <c r="JF352"/>
      <c r="JG352"/>
      <c r="JH352"/>
      <c r="JI352"/>
      <c r="JJ352"/>
      <c r="JK352"/>
      <c r="JL352"/>
      <c r="JM352"/>
      <c r="JN352"/>
      <c r="JO352"/>
      <c r="JP352"/>
      <c r="JQ352"/>
      <c r="JR352"/>
      <c r="JS352"/>
      <c r="JT352"/>
      <c r="JU352"/>
      <c r="JV352"/>
      <c r="JW352"/>
      <c r="JX352"/>
      <c r="JY352"/>
      <c r="JZ352"/>
      <c r="KA352"/>
      <c r="KB352"/>
      <c r="KC352"/>
      <c r="KD352"/>
      <c r="KE352"/>
      <c r="KF352"/>
      <c r="KG352"/>
      <c r="KH352"/>
      <c r="KI352"/>
      <c r="KJ352"/>
      <c r="KK352"/>
      <c r="KL352"/>
      <c r="KM352"/>
      <c r="KN352"/>
      <c r="KO352"/>
      <c r="KP352"/>
      <c r="KQ352"/>
      <c r="KR352"/>
      <c r="KS352"/>
      <c r="KT352"/>
      <c r="KU352"/>
      <c r="KV352"/>
      <c r="KW352"/>
      <c r="KX352"/>
      <c r="KY352"/>
      <c r="KZ352"/>
      <c r="LA352"/>
      <c r="LB352"/>
      <c r="LC352"/>
      <c r="LD352"/>
      <c r="LE352"/>
      <c r="LF352"/>
      <c r="LG352"/>
      <c r="LH352"/>
      <c r="LI352"/>
      <c r="LJ352"/>
      <c r="LK352"/>
      <c r="LL352"/>
      <c r="LM352"/>
      <c r="LN352"/>
      <c r="LO352"/>
      <c r="LP352"/>
      <c r="LQ352"/>
      <c r="LR352"/>
      <c r="LS352"/>
      <c r="LT352"/>
      <c r="LU352"/>
      <c r="LV352"/>
      <c r="LW352"/>
      <c r="LX352"/>
      <c r="LY352"/>
      <c r="LZ352"/>
    </row>
    <row r="353" spans="1:338" x14ac:dyDescent="0.3">
      <c r="A353" s="209" t="str">
        <f>IFERROR(IF($A352+1&gt;'(backend scoring)'!$T$335,"",$A352+1),"")</f>
        <v/>
      </c>
      <c r="B353" s="209" t="str">
        <f>_xlfn.XLOOKUP($A353,'(backend scoring)'!$V$2:$V$333,'(backend scoring)'!$A$2:$A$333,"")</f>
        <v/>
      </c>
      <c r="C353" s="209" t="str">
        <f>IFERROR(VLOOKUP($B353,'Institution Evaluation'!$A$55:$F$345,2,0),IFERROR(VLOOKUP($B353,'Privacy Analyst Evaluation'!$A$46:$F$120,2,0),""))&amp;""</f>
        <v/>
      </c>
      <c r="D353" s="209" t="str">
        <f>IFERROR(VLOOKUP($B353,'Institution Evaluation'!$A$55:$F$345,3,0),IFERROR(VLOOKUP($B353,'Privacy Analyst Evaluation'!$A$46:$F$120,3,0),""))&amp;""</f>
        <v/>
      </c>
      <c r="E353" s="209" t="str">
        <f>IFERROR(VLOOKUP($B353,'Institution Evaluation'!$A$55:$F$345,4,0),IFERROR(VLOOKUP($B353,'Privacy Analyst Evaluation'!$A$46:$F$120,4,0),""))&amp;""</f>
        <v/>
      </c>
      <c r="F353" s="209" t="str">
        <f>IFERROR(VLOOKUP($B353,'Institution Evaluation'!$A$55:$F$345,6,0),IFERROR(VLOOKUP($B353,'Privacy Analyst Evaluation'!$A$46:$F$120,6,0),""))&amp;""</f>
        <v/>
      </c>
      <c r="G353" s="210"/>
      <c r="H353" s="209" t="str">
        <f>IFERROR(IF($H352+1&gt;'(backend scoring)'!$Q$335,"",$H352+1),"")</f>
        <v/>
      </c>
      <c r="I353" s="209" t="str">
        <f>_xlfn.XLOOKUP($H353,'(backend scoring)'!$S$2:$S$333,'(backend scoring)'!$A$2:$A$333,"")</f>
        <v/>
      </c>
      <c r="J353" s="209" t="str">
        <f>IFERROR(VLOOKUP($I353,'Institution Evaluation'!$A$55:$F$345,2,0),IFERROR(VLOOKUP($I353,'Privacy Analyst Evaluation'!$A$46:$F$120,2,0),""))</f>
        <v/>
      </c>
      <c r="K353" s="209" t="str">
        <f>IFERROR(VLOOKUP($I353,'Institution Evaluation'!$A$55:$F$345,3,0),IFERROR(VLOOKUP($I353,'Privacy Analyst Evaluation'!$A$46:$F$120,3,0),""))&amp;""</f>
        <v/>
      </c>
      <c r="L353" s="209" t="str">
        <f>IFERROR(VLOOKUP($I353,'Institution Evaluation'!$A$55:$F$345,4,0),IFERROR(VLOOKUP($I353,'Privacy Analyst Evaluation'!$A$46:$F$120,4,0),""))&amp;""</f>
        <v/>
      </c>
      <c r="M353" s="209" t="str">
        <f>IFERROR(VLOOKUP($I353,'Institution Evaluation'!$A$55:$F$345,6,0),IFERROR(VLOOKUP($I353,'Privacy Analyst Evaluation'!$A$46:$F$120,6,0),""))&amp;""</f>
        <v/>
      </c>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c r="II353"/>
      <c r="IJ353"/>
      <c r="IK353"/>
      <c r="IL353"/>
      <c r="IM353"/>
      <c r="IN353"/>
      <c r="IO353"/>
      <c r="IP353"/>
      <c r="IQ353"/>
      <c r="IR353"/>
      <c r="IS353"/>
      <c r="IT353"/>
      <c r="IU353"/>
      <c r="IV353"/>
      <c r="IW353"/>
      <c r="IX353"/>
      <c r="IY353"/>
      <c r="IZ353"/>
      <c r="JA353"/>
      <c r="JB353"/>
      <c r="JC353"/>
      <c r="JD353"/>
      <c r="JE353"/>
      <c r="JF353"/>
      <c r="JG353"/>
      <c r="JH353"/>
      <c r="JI353"/>
      <c r="JJ353"/>
      <c r="JK353"/>
      <c r="JL353"/>
      <c r="JM353"/>
      <c r="JN353"/>
      <c r="JO353"/>
      <c r="JP353"/>
      <c r="JQ353"/>
      <c r="JR353"/>
      <c r="JS353"/>
      <c r="JT353"/>
      <c r="JU353"/>
      <c r="JV353"/>
      <c r="JW353"/>
      <c r="JX353"/>
      <c r="JY353"/>
      <c r="JZ353"/>
      <c r="KA353"/>
      <c r="KB353"/>
      <c r="KC353"/>
      <c r="KD353"/>
      <c r="KE353"/>
      <c r="KF353"/>
      <c r="KG353"/>
      <c r="KH353"/>
      <c r="KI353"/>
      <c r="KJ353"/>
      <c r="KK353"/>
      <c r="KL353"/>
      <c r="KM353"/>
      <c r="KN353"/>
      <c r="KO353"/>
      <c r="KP353"/>
      <c r="KQ353"/>
      <c r="KR353"/>
      <c r="KS353"/>
      <c r="KT353"/>
      <c r="KU353"/>
      <c r="KV353"/>
      <c r="KW353"/>
      <c r="KX353"/>
      <c r="KY353"/>
      <c r="KZ353"/>
      <c r="LA353"/>
      <c r="LB353"/>
      <c r="LC353"/>
      <c r="LD353"/>
      <c r="LE353"/>
      <c r="LF353"/>
      <c r="LG353"/>
      <c r="LH353"/>
      <c r="LI353"/>
      <c r="LJ353"/>
      <c r="LK353"/>
      <c r="LL353"/>
      <c r="LM353"/>
      <c r="LN353"/>
      <c r="LO353"/>
      <c r="LP353"/>
      <c r="LQ353"/>
      <c r="LR353"/>
      <c r="LS353"/>
      <c r="LT353"/>
      <c r="LU353"/>
      <c r="LV353"/>
      <c r="LW353"/>
      <c r="LX353"/>
      <c r="LY353"/>
      <c r="LZ353"/>
    </row>
    <row r="354" spans="1:338" x14ac:dyDescent="0.3">
      <c r="A354" s="209" t="str">
        <f>IFERROR(IF($A353+1&gt;'(backend scoring)'!$T$335,"",$A353+1),"")</f>
        <v/>
      </c>
      <c r="B354" s="209" t="str">
        <f>_xlfn.XLOOKUP($A354,'(backend scoring)'!$V$2:$V$333,'(backend scoring)'!$A$2:$A$333,"")</f>
        <v/>
      </c>
      <c r="C354" s="209" t="str">
        <f>IFERROR(VLOOKUP($B354,'Institution Evaluation'!$A$55:$F$345,2,0),IFERROR(VLOOKUP($B354,'Privacy Analyst Evaluation'!$A$46:$F$120,2,0),""))&amp;""</f>
        <v/>
      </c>
      <c r="D354" s="209" t="str">
        <f>IFERROR(VLOOKUP($B354,'Institution Evaluation'!$A$55:$F$345,3,0),IFERROR(VLOOKUP($B354,'Privacy Analyst Evaluation'!$A$46:$F$120,3,0),""))&amp;""</f>
        <v/>
      </c>
      <c r="E354" s="209" t="str">
        <f>IFERROR(VLOOKUP($B354,'Institution Evaluation'!$A$55:$F$345,4,0),IFERROR(VLOOKUP($B354,'Privacy Analyst Evaluation'!$A$46:$F$120,4,0),""))&amp;""</f>
        <v/>
      </c>
      <c r="F354" s="209" t="str">
        <f>IFERROR(VLOOKUP($B354,'Institution Evaluation'!$A$55:$F$345,6,0),IFERROR(VLOOKUP($B354,'Privacy Analyst Evaluation'!$A$46:$F$120,6,0),""))&amp;""</f>
        <v/>
      </c>
      <c r="G354" s="210"/>
      <c r="H354" s="209" t="str">
        <f>IFERROR(IF($H353+1&gt;'(backend scoring)'!$Q$335,"",$H353+1),"")</f>
        <v/>
      </c>
      <c r="I354" s="209" t="str">
        <f>_xlfn.XLOOKUP($H354,'(backend scoring)'!$S$2:$S$333,'(backend scoring)'!$A$2:$A$333,"")</f>
        <v/>
      </c>
      <c r="J354" s="209" t="str">
        <f>IFERROR(VLOOKUP($I354,'Institution Evaluation'!$A$55:$F$345,2,0),IFERROR(VLOOKUP($I354,'Privacy Analyst Evaluation'!$A$46:$F$120,2,0),""))</f>
        <v/>
      </c>
      <c r="K354" s="209" t="str">
        <f>IFERROR(VLOOKUP($I354,'Institution Evaluation'!$A$55:$F$345,3,0),IFERROR(VLOOKUP($I354,'Privacy Analyst Evaluation'!$A$46:$F$120,3,0),""))&amp;""</f>
        <v/>
      </c>
      <c r="L354" s="209" t="str">
        <f>IFERROR(VLOOKUP($I354,'Institution Evaluation'!$A$55:$F$345,4,0),IFERROR(VLOOKUP($I354,'Privacy Analyst Evaluation'!$A$46:$F$120,4,0),""))&amp;""</f>
        <v/>
      </c>
      <c r="M354" s="209" t="str">
        <f>IFERROR(VLOOKUP($I354,'Institution Evaluation'!$A$55:$F$345,6,0),IFERROR(VLOOKUP($I354,'Privacy Analyst Evaluation'!$A$46:$F$120,6,0),""))&amp;""</f>
        <v/>
      </c>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c r="KY354"/>
      <c r="KZ354"/>
      <c r="LA354"/>
      <c r="LB354"/>
      <c r="LC354"/>
      <c r="LD354"/>
      <c r="LE354"/>
      <c r="LF354"/>
      <c r="LG354"/>
      <c r="LH354"/>
      <c r="LI354"/>
      <c r="LJ354"/>
      <c r="LK354"/>
      <c r="LL354"/>
      <c r="LM354"/>
      <c r="LN354"/>
      <c r="LO354"/>
      <c r="LP354"/>
      <c r="LQ354"/>
      <c r="LR354"/>
      <c r="LS354"/>
      <c r="LT354"/>
      <c r="LU354"/>
      <c r="LV354"/>
      <c r="LW354"/>
      <c r="LX354"/>
      <c r="LY354"/>
      <c r="LZ354"/>
    </row>
    <row r="355" spans="1:338" x14ac:dyDescent="0.3">
      <c r="A355" s="209" t="str">
        <f>IFERROR(IF($A354+1&gt;'(backend scoring)'!$T$335,"",$A354+1),"")</f>
        <v/>
      </c>
      <c r="B355" s="209" t="str">
        <f>_xlfn.XLOOKUP($A355,'(backend scoring)'!$V$2:$V$333,'(backend scoring)'!$A$2:$A$333,"")</f>
        <v/>
      </c>
      <c r="C355" s="209" t="str">
        <f>IFERROR(VLOOKUP($B355,'Institution Evaluation'!$A$55:$F$345,2,0),IFERROR(VLOOKUP($B355,'Privacy Analyst Evaluation'!$A$46:$F$120,2,0),""))&amp;""</f>
        <v/>
      </c>
      <c r="D355" s="209" t="str">
        <f>IFERROR(VLOOKUP($B355,'Institution Evaluation'!$A$55:$F$345,3,0),IFERROR(VLOOKUP($B355,'Privacy Analyst Evaluation'!$A$46:$F$120,3,0),""))&amp;""</f>
        <v/>
      </c>
      <c r="E355" s="209" t="str">
        <f>IFERROR(VLOOKUP($B355,'Institution Evaluation'!$A$55:$F$345,4,0),IFERROR(VLOOKUP($B355,'Privacy Analyst Evaluation'!$A$46:$F$120,4,0),""))&amp;""</f>
        <v/>
      </c>
      <c r="F355" s="209" t="str">
        <f>IFERROR(VLOOKUP($B355,'Institution Evaluation'!$A$55:$F$345,6,0),IFERROR(VLOOKUP($B355,'Privacy Analyst Evaluation'!$A$46:$F$120,6,0),""))&amp;""</f>
        <v/>
      </c>
      <c r="G355" s="210"/>
      <c r="H355" s="209" t="str">
        <f>IFERROR(IF($H354+1&gt;'(backend scoring)'!$Q$335,"",$H354+1),"")</f>
        <v/>
      </c>
      <c r="I355" s="209" t="str">
        <f>_xlfn.XLOOKUP($H355,'(backend scoring)'!$S$2:$S$333,'(backend scoring)'!$A$2:$A$333,"")</f>
        <v/>
      </c>
      <c r="J355" s="209" t="str">
        <f>IFERROR(VLOOKUP($I355,'Institution Evaluation'!$A$55:$F$345,2,0),IFERROR(VLOOKUP($I355,'Privacy Analyst Evaluation'!$A$46:$F$120,2,0),""))</f>
        <v/>
      </c>
      <c r="K355" s="209" t="str">
        <f>IFERROR(VLOOKUP($I355,'Institution Evaluation'!$A$55:$F$345,3,0),IFERROR(VLOOKUP($I355,'Privacy Analyst Evaluation'!$A$46:$F$120,3,0),""))&amp;""</f>
        <v/>
      </c>
      <c r="L355" s="209" t="str">
        <f>IFERROR(VLOOKUP($I355,'Institution Evaluation'!$A$55:$F$345,4,0),IFERROR(VLOOKUP($I355,'Privacy Analyst Evaluation'!$A$46:$F$120,4,0),""))&amp;""</f>
        <v/>
      </c>
      <c r="M355" s="209" t="str">
        <f>IFERROR(VLOOKUP($I355,'Institution Evaluation'!$A$55:$F$345,6,0),IFERROR(VLOOKUP($I355,'Privacy Analyst Evaluation'!$A$46:$F$120,6,0),""))&amp;""</f>
        <v/>
      </c>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c r="IU355"/>
      <c r="IV355"/>
      <c r="IW355"/>
      <c r="IX355"/>
      <c r="IY355"/>
      <c r="IZ355"/>
      <c r="JA355"/>
      <c r="JB355"/>
      <c r="JC355"/>
      <c r="JD355"/>
      <c r="JE355"/>
      <c r="JF355"/>
      <c r="JG355"/>
      <c r="JH355"/>
      <c r="JI355"/>
      <c r="JJ355"/>
      <c r="JK355"/>
      <c r="JL355"/>
      <c r="JM355"/>
      <c r="JN355"/>
      <c r="JO355"/>
      <c r="JP355"/>
      <c r="JQ355"/>
      <c r="JR355"/>
      <c r="JS355"/>
      <c r="JT355"/>
      <c r="JU355"/>
      <c r="JV355"/>
      <c r="JW355"/>
      <c r="JX355"/>
      <c r="JY355"/>
      <c r="JZ355"/>
      <c r="KA355"/>
      <c r="KB355"/>
      <c r="KC355"/>
      <c r="KD355"/>
      <c r="KE355"/>
      <c r="KF355"/>
      <c r="KG355"/>
      <c r="KH355"/>
      <c r="KI355"/>
      <c r="KJ355"/>
      <c r="KK355"/>
      <c r="KL355"/>
      <c r="KM355"/>
      <c r="KN355"/>
      <c r="KO355"/>
      <c r="KP355"/>
      <c r="KQ355"/>
      <c r="KR355"/>
      <c r="KS355"/>
      <c r="KT355"/>
      <c r="KU355"/>
      <c r="KV355"/>
      <c r="KW355"/>
      <c r="KX355"/>
      <c r="KY355"/>
      <c r="KZ355"/>
      <c r="LA355"/>
      <c r="LB355"/>
      <c r="LC355"/>
      <c r="LD355"/>
      <c r="LE355"/>
      <c r="LF355"/>
      <c r="LG355"/>
      <c r="LH355"/>
      <c r="LI355"/>
      <c r="LJ355"/>
      <c r="LK355"/>
      <c r="LL355"/>
      <c r="LM355"/>
      <c r="LN355"/>
      <c r="LO355"/>
      <c r="LP355"/>
      <c r="LQ355"/>
      <c r="LR355"/>
      <c r="LS355"/>
      <c r="LT355"/>
      <c r="LU355"/>
      <c r="LV355"/>
      <c r="LW355"/>
      <c r="LX355"/>
      <c r="LY355"/>
      <c r="LZ355"/>
    </row>
    <row r="356" spans="1:338" x14ac:dyDescent="0.3">
      <c r="A356" s="209" t="str">
        <f>IFERROR(IF($A355+1&gt;'(backend scoring)'!$T$335,"",$A355+1),"")</f>
        <v/>
      </c>
      <c r="B356" s="209" t="str">
        <f>_xlfn.XLOOKUP($A356,'(backend scoring)'!$V$2:$V$333,'(backend scoring)'!$A$2:$A$333,"")</f>
        <v/>
      </c>
      <c r="C356" s="209" t="str">
        <f>IFERROR(VLOOKUP($B356,'Institution Evaluation'!$A$55:$F$345,2,0),IFERROR(VLOOKUP($B356,'Privacy Analyst Evaluation'!$A$46:$F$120,2,0),""))&amp;""</f>
        <v/>
      </c>
      <c r="D356" s="209" t="str">
        <f>IFERROR(VLOOKUP($B356,'Institution Evaluation'!$A$55:$F$345,3,0),IFERROR(VLOOKUP($B356,'Privacy Analyst Evaluation'!$A$46:$F$120,3,0),""))&amp;""</f>
        <v/>
      </c>
      <c r="E356" s="209" t="str">
        <f>IFERROR(VLOOKUP($B356,'Institution Evaluation'!$A$55:$F$345,4,0),IFERROR(VLOOKUP($B356,'Privacy Analyst Evaluation'!$A$46:$F$120,4,0),""))&amp;""</f>
        <v/>
      </c>
      <c r="F356" s="209" t="str">
        <f>IFERROR(VLOOKUP($B356,'Institution Evaluation'!$A$55:$F$345,6,0),IFERROR(VLOOKUP($B356,'Privacy Analyst Evaluation'!$A$46:$F$120,6,0),""))&amp;""</f>
        <v/>
      </c>
      <c r="G356" s="210"/>
      <c r="H356" s="209" t="str">
        <f>IFERROR(IF($H355+1&gt;'(backend scoring)'!$Q$335,"",$H355+1),"")</f>
        <v/>
      </c>
      <c r="I356" s="209" t="str">
        <f>_xlfn.XLOOKUP($H356,'(backend scoring)'!$S$2:$S$333,'(backend scoring)'!$A$2:$A$333,"")</f>
        <v/>
      </c>
      <c r="J356" s="209" t="str">
        <f>IFERROR(VLOOKUP($I356,'Institution Evaluation'!$A$55:$F$345,2,0),IFERROR(VLOOKUP($I356,'Privacy Analyst Evaluation'!$A$46:$F$120,2,0),""))</f>
        <v/>
      </c>
      <c r="K356" s="209" t="str">
        <f>IFERROR(VLOOKUP($I356,'Institution Evaluation'!$A$55:$F$345,3,0),IFERROR(VLOOKUP($I356,'Privacy Analyst Evaluation'!$A$46:$F$120,3,0),""))&amp;""</f>
        <v/>
      </c>
      <c r="L356" s="209" t="str">
        <f>IFERROR(VLOOKUP($I356,'Institution Evaluation'!$A$55:$F$345,4,0),IFERROR(VLOOKUP($I356,'Privacy Analyst Evaluation'!$A$46:$F$120,4,0),""))&amp;""</f>
        <v/>
      </c>
      <c r="M356" s="209" t="str">
        <f>IFERROR(VLOOKUP($I356,'Institution Evaluation'!$A$55:$F$345,6,0),IFERROR(VLOOKUP($I356,'Privacy Analyst Evaluation'!$A$46:$F$120,6,0),""))&amp;""</f>
        <v/>
      </c>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c r="JY356"/>
      <c r="JZ356"/>
      <c r="KA356"/>
      <c r="KB356"/>
      <c r="KC356"/>
      <c r="KD356"/>
      <c r="KE356"/>
      <c r="KF356"/>
      <c r="KG356"/>
      <c r="KH356"/>
      <c r="KI356"/>
      <c r="KJ356"/>
      <c r="KK356"/>
      <c r="KL356"/>
      <c r="KM356"/>
      <c r="KN356"/>
      <c r="KO356"/>
      <c r="KP356"/>
      <c r="KQ356"/>
      <c r="KR356"/>
      <c r="KS356"/>
      <c r="KT356"/>
      <c r="KU356"/>
      <c r="KV356"/>
      <c r="KW356"/>
      <c r="KX356"/>
      <c r="KY356"/>
      <c r="KZ356"/>
      <c r="LA356"/>
      <c r="LB356"/>
      <c r="LC356"/>
      <c r="LD356"/>
      <c r="LE356"/>
      <c r="LF356"/>
      <c r="LG356"/>
      <c r="LH356"/>
      <c r="LI356"/>
      <c r="LJ356"/>
      <c r="LK356"/>
      <c r="LL356"/>
      <c r="LM356"/>
      <c r="LN356"/>
      <c r="LO356"/>
      <c r="LP356"/>
      <c r="LQ356"/>
      <c r="LR356"/>
      <c r="LS356"/>
      <c r="LT356"/>
      <c r="LU356"/>
      <c r="LV356"/>
      <c r="LW356"/>
      <c r="LX356"/>
      <c r="LY356"/>
      <c r="LZ356"/>
    </row>
    <row r="357" spans="1:338" x14ac:dyDescent="0.3">
      <c r="A357" s="209" t="str">
        <f>IFERROR(IF($A356+1&gt;'(backend scoring)'!$T$335,"",$A356+1),"")</f>
        <v/>
      </c>
      <c r="B357" s="209" t="str">
        <f>_xlfn.XLOOKUP($A357,'(backend scoring)'!$V$2:$V$333,'(backend scoring)'!$A$2:$A$333,"")</f>
        <v/>
      </c>
      <c r="C357" s="209" t="str">
        <f>IFERROR(VLOOKUP($B357,'Institution Evaluation'!$A$55:$F$345,2,0),IFERROR(VLOOKUP($B357,'Privacy Analyst Evaluation'!$A$46:$F$120,2,0),""))&amp;""</f>
        <v/>
      </c>
      <c r="D357" s="209" t="str">
        <f>IFERROR(VLOOKUP($B357,'Institution Evaluation'!$A$55:$F$345,3,0),IFERROR(VLOOKUP($B357,'Privacy Analyst Evaluation'!$A$46:$F$120,3,0),""))&amp;""</f>
        <v/>
      </c>
      <c r="E357" s="209" t="str">
        <f>IFERROR(VLOOKUP($B357,'Institution Evaluation'!$A$55:$F$345,4,0),IFERROR(VLOOKUP($B357,'Privacy Analyst Evaluation'!$A$46:$F$120,4,0),""))&amp;""</f>
        <v/>
      </c>
      <c r="F357" s="209" t="str">
        <f>IFERROR(VLOOKUP($B357,'Institution Evaluation'!$A$55:$F$345,6,0),IFERROR(VLOOKUP($B357,'Privacy Analyst Evaluation'!$A$46:$F$120,6,0),""))&amp;""</f>
        <v/>
      </c>
      <c r="G357" s="210"/>
      <c r="H357" s="209" t="str">
        <f>IFERROR(IF($H356+1&gt;'(backend scoring)'!$Q$335,"",$H356+1),"")</f>
        <v/>
      </c>
      <c r="I357" s="209" t="str">
        <f>_xlfn.XLOOKUP($H357,'(backend scoring)'!$S$2:$S$333,'(backend scoring)'!$A$2:$A$333,"")</f>
        <v/>
      </c>
      <c r="J357" s="209" t="str">
        <f>IFERROR(VLOOKUP($I357,'Institution Evaluation'!$A$55:$F$345,2,0),IFERROR(VLOOKUP($I357,'Privacy Analyst Evaluation'!$A$46:$F$120,2,0),""))</f>
        <v/>
      </c>
      <c r="K357" s="209" t="str">
        <f>IFERROR(VLOOKUP($I357,'Institution Evaluation'!$A$55:$F$345,3,0),IFERROR(VLOOKUP($I357,'Privacy Analyst Evaluation'!$A$46:$F$120,3,0),""))&amp;""</f>
        <v/>
      </c>
      <c r="L357" s="209" t="str">
        <f>IFERROR(VLOOKUP($I357,'Institution Evaluation'!$A$55:$F$345,4,0),IFERROR(VLOOKUP($I357,'Privacy Analyst Evaluation'!$A$46:$F$120,4,0),""))&amp;""</f>
        <v/>
      </c>
      <c r="M357" s="209" t="str">
        <f>IFERROR(VLOOKUP($I357,'Institution Evaluation'!$A$55:$F$345,6,0),IFERROR(VLOOKUP($I357,'Privacy Analyst Evaluation'!$A$46:$F$120,6,0),""))&amp;""</f>
        <v/>
      </c>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c r="IU357"/>
      <c r="IV357"/>
      <c r="IW357"/>
      <c r="IX357"/>
      <c r="IY357"/>
      <c r="IZ357"/>
      <c r="JA357"/>
      <c r="JB357"/>
      <c r="JC357"/>
      <c r="JD357"/>
      <c r="JE357"/>
      <c r="JF357"/>
      <c r="JG357"/>
      <c r="JH357"/>
      <c r="JI357"/>
      <c r="JJ357"/>
      <c r="JK357"/>
      <c r="JL357"/>
      <c r="JM357"/>
      <c r="JN357"/>
      <c r="JO357"/>
      <c r="JP357"/>
      <c r="JQ357"/>
      <c r="JR357"/>
      <c r="JS357"/>
      <c r="JT357"/>
      <c r="JU357"/>
      <c r="JV357"/>
      <c r="JW357"/>
      <c r="JX357"/>
      <c r="JY357"/>
      <c r="JZ357"/>
      <c r="KA357"/>
      <c r="KB357"/>
      <c r="KC357"/>
      <c r="KD357"/>
      <c r="KE357"/>
      <c r="KF357"/>
      <c r="KG357"/>
      <c r="KH357"/>
      <c r="KI357"/>
      <c r="KJ357"/>
      <c r="KK357"/>
      <c r="KL357"/>
      <c r="KM357"/>
      <c r="KN357"/>
      <c r="KO357"/>
      <c r="KP357"/>
      <c r="KQ357"/>
      <c r="KR357"/>
      <c r="KS357"/>
      <c r="KT357"/>
      <c r="KU357"/>
      <c r="KV357"/>
      <c r="KW357"/>
      <c r="KX357"/>
      <c r="KY357"/>
      <c r="KZ357"/>
      <c r="LA357"/>
      <c r="LB357"/>
      <c r="LC357"/>
      <c r="LD357"/>
      <c r="LE357"/>
      <c r="LF357"/>
      <c r="LG357"/>
      <c r="LH357"/>
      <c r="LI357"/>
      <c r="LJ357"/>
      <c r="LK357"/>
      <c r="LL357"/>
      <c r="LM357"/>
      <c r="LN357"/>
      <c r="LO357"/>
      <c r="LP357"/>
      <c r="LQ357"/>
      <c r="LR357"/>
      <c r="LS357"/>
      <c r="LT357"/>
      <c r="LU357"/>
      <c r="LV357"/>
      <c r="LW357"/>
      <c r="LX357"/>
      <c r="LY357"/>
      <c r="LZ357"/>
    </row>
    <row r="358" spans="1:338" x14ac:dyDescent="0.3">
      <c r="A358" s="209" t="str">
        <f>IFERROR(IF($A357+1&gt;'(backend scoring)'!$T$335,"",$A357+1),"")</f>
        <v/>
      </c>
      <c r="B358" s="209" t="str">
        <f>_xlfn.XLOOKUP($A358,'(backend scoring)'!$V$2:$V$333,'(backend scoring)'!$A$2:$A$333,"")</f>
        <v/>
      </c>
      <c r="C358" s="209" t="str">
        <f>IFERROR(VLOOKUP($B358,'Institution Evaluation'!$A$55:$F$345,2,0),IFERROR(VLOOKUP($B358,'Privacy Analyst Evaluation'!$A$46:$F$120,2,0),""))&amp;""</f>
        <v/>
      </c>
      <c r="D358" s="209" t="str">
        <f>IFERROR(VLOOKUP($B358,'Institution Evaluation'!$A$55:$F$345,3,0),IFERROR(VLOOKUP($B358,'Privacy Analyst Evaluation'!$A$46:$F$120,3,0),""))&amp;""</f>
        <v/>
      </c>
      <c r="E358" s="209" t="str">
        <f>IFERROR(VLOOKUP($B358,'Institution Evaluation'!$A$55:$F$345,4,0),IFERROR(VLOOKUP($B358,'Privacy Analyst Evaluation'!$A$46:$F$120,4,0),""))&amp;""</f>
        <v/>
      </c>
      <c r="F358" s="209" t="str">
        <f>IFERROR(VLOOKUP($B358,'Institution Evaluation'!$A$55:$F$345,6,0),IFERROR(VLOOKUP($B358,'Privacy Analyst Evaluation'!$A$46:$F$120,6,0),""))&amp;""</f>
        <v/>
      </c>
      <c r="G358" s="210"/>
      <c r="H358" s="209" t="str">
        <f>IFERROR(IF($H357+1&gt;'(backend scoring)'!$Q$335,"",$H357+1),"")</f>
        <v/>
      </c>
      <c r="I358" s="209" t="str">
        <f>_xlfn.XLOOKUP($H358,'(backend scoring)'!$S$2:$S$333,'(backend scoring)'!$A$2:$A$333,"")</f>
        <v/>
      </c>
      <c r="J358" s="209" t="str">
        <f>IFERROR(VLOOKUP($I358,'Institution Evaluation'!$A$55:$F$345,2,0),IFERROR(VLOOKUP($I358,'Privacy Analyst Evaluation'!$A$46:$F$120,2,0),""))</f>
        <v/>
      </c>
      <c r="K358" s="209" t="str">
        <f>IFERROR(VLOOKUP($I358,'Institution Evaluation'!$A$55:$F$345,3,0),IFERROR(VLOOKUP($I358,'Privacy Analyst Evaluation'!$A$46:$F$120,3,0),""))&amp;""</f>
        <v/>
      </c>
      <c r="L358" s="209" t="str">
        <f>IFERROR(VLOOKUP($I358,'Institution Evaluation'!$A$55:$F$345,4,0),IFERROR(VLOOKUP($I358,'Privacy Analyst Evaluation'!$A$46:$F$120,4,0),""))&amp;""</f>
        <v/>
      </c>
      <c r="M358" s="209" t="str">
        <f>IFERROR(VLOOKUP($I358,'Institution Evaluation'!$A$55:$F$345,6,0),IFERROR(VLOOKUP($I358,'Privacy Analyst Evaluation'!$A$46:$F$120,6,0),""))&amp;""</f>
        <v/>
      </c>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c r="IV358"/>
      <c r="IW358"/>
      <c r="IX358"/>
      <c r="IY358"/>
      <c r="IZ358"/>
      <c r="JA358"/>
      <c r="JB358"/>
      <c r="JC358"/>
      <c r="JD358"/>
      <c r="JE358"/>
      <c r="JF358"/>
      <c r="JG358"/>
      <c r="JH358"/>
      <c r="JI358"/>
      <c r="JJ358"/>
      <c r="JK358"/>
      <c r="JL358"/>
      <c r="JM358"/>
      <c r="JN358"/>
      <c r="JO358"/>
      <c r="JP358"/>
      <c r="JQ358"/>
      <c r="JR358"/>
      <c r="JS358"/>
      <c r="JT358"/>
      <c r="JU358"/>
      <c r="JV358"/>
      <c r="JW358"/>
      <c r="JX358"/>
      <c r="JY358"/>
      <c r="JZ358"/>
      <c r="KA358"/>
      <c r="KB358"/>
      <c r="KC358"/>
      <c r="KD358"/>
      <c r="KE358"/>
      <c r="KF358"/>
      <c r="KG358"/>
      <c r="KH358"/>
      <c r="KI358"/>
      <c r="KJ358"/>
      <c r="KK358"/>
      <c r="KL358"/>
      <c r="KM358"/>
      <c r="KN358"/>
      <c r="KO358"/>
      <c r="KP358"/>
      <c r="KQ358"/>
      <c r="KR358"/>
      <c r="KS358"/>
      <c r="KT358"/>
      <c r="KU358"/>
      <c r="KV358"/>
      <c r="KW358"/>
      <c r="KX358"/>
      <c r="KY358"/>
      <c r="KZ358"/>
      <c r="LA358"/>
      <c r="LB358"/>
      <c r="LC358"/>
      <c r="LD358"/>
      <c r="LE358"/>
      <c r="LF358"/>
      <c r="LG358"/>
      <c r="LH358"/>
      <c r="LI358"/>
      <c r="LJ358"/>
      <c r="LK358"/>
      <c r="LL358"/>
      <c r="LM358"/>
      <c r="LN358"/>
      <c r="LO358"/>
      <c r="LP358"/>
      <c r="LQ358"/>
      <c r="LR358"/>
      <c r="LS358"/>
      <c r="LT358"/>
      <c r="LU358"/>
      <c r="LV358"/>
      <c r="LW358"/>
      <c r="LX358"/>
      <c r="LY358"/>
      <c r="LZ358"/>
    </row>
    <row r="359" spans="1:338" x14ac:dyDescent="0.3">
      <c r="A359" s="209" t="str">
        <f>IFERROR(IF($A358+1&gt;'(backend scoring)'!$T$335,"",$A358+1),"")</f>
        <v/>
      </c>
      <c r="B359" s="209" t="str">
        <f>_xlfn.XLOOKUP($A359,'(backend scoring)'!$V$2:$V$333,'(backend scoring)'!$A$2:$A$333,"")</f>
        <v/>
      </c>
      <c r="C359" s="209" t="str">
        <f>IFERROR(VLOOKUP($B359,'Institution Evaluation'!$A$55:$F$345,2,0),IFERROR(VLOOKUP($B359,'Privacy Analyst Evaluation'!$A$46:$F$120,2,0),""))&amp;""</f>
        <v/>
      </c>
      <c r="D359" s="209" t="str">
        <f>IFERROR(VLOOKUP($B359,'Institution Evaluation'!$A$55:$F$345,3,0),IFERROR(VLOOKUP($B359,'Privacy Analyst Evaluation'!$A$46:$F$120,3,0),""))&amp;""</f>
        <v/>
      </c>
      <c r="E359" s="209" t="str">
        <f>IFERROR(VLOOKUP($B359,'Institution Evaluation'!$A$55:$F$345,4,0),IFERROR(VLOOKUP($B359,'Privacy Analyst Evaluation'!$A$46:$F$120,4,0),""))&amp;""</f>
        <v/>
      </c>
      <c r="F359" s="209" t="str">
        <f>IFERROR(VLOOKUP($B359,'Institution Evaluation'!$A$55:$F$345,6,0),IFERROR(VLOOKUP($B359,'Privacy Analyst Evaluation'!$A$46:$F$120,6,0),""))&amp;""</f>
        <v/>
      </c>
      <c r="G359" s="210"/>
      <c r="H359" s="209" t="str">
        <f>IFERROR(IF($H358+1&gt;'(backend scoring)'!$Q$335,"",$H358+1),"")</f>
        <v/>
      </c>
      <c r="I359" s="209" t="str">
        <f>_xlfn.XLOOKUP($H359,'(backend scoring)'!$S$2:$S$333,'(backend scoring)'!$A$2:$A$333,"")</f>
        <v/>
      </c>
      <c r="J359" s="209" t="str">
        <f>IFERROR(VLOOKUP($I359,'Institution Evaluation'!$A$55:$F$345,2,0),IFERROR(VLOOKUP($I359,'Privacy Analyst Evaluation'!$A$46:$F$120,2,0),""))</f>
        <v/>
      </c>
      <c r="K359" s="209" t="str">
        <f>IFERROR(VLOOKUP($I359,'Institution Evaluation'!$A$55:$F$345,3,0),IFERROR(VLOOKUP($I359,'Privacy Analyst Evaluation'!$A$46:$F$120,3,0),""))&amp;""</f>
        <v/>
      </c>
      <c r="L359" s="209" t="str">
        <f>IFERROR(VLOOKUP($I359,'Institution Evaluation'!$A$55:$F$345,4,0),IFERROR(VLOOKUP($I359,'Privacy Analyst Evaluation'!$A$46:$F$120,4,0),""))&amp;""</f>
        <v/>
      </c>
      <c r="M359" s="209" t="str">
        <f>IFERROR(VLOOKUP($I359,'Institution Evaluation'!$A$55:$F$345,6,0),IFERROR(VLOOKUP($I359,'Privacy Analyst Evaluation'!$A$46:$F$120,6,0),""))&amp;""</f>
        <v/>
      </c>
    </row>
    <row r="360" spans="1:338" x14ac:dyDescent="0.3">
      <c r="A360" s="209" t="str">
        <f>IFERROR(IF($A359+1&gt;'(backend scoring)'!$T$335,"",$A359+1),"")</f>
        <v/>
      </c>
      <c r="B360" s="209" t="str">
        <f>_xlfn.XLOOKUP($A360,'(backend scoring)'!$V$2:$V$333,'(backend scoring)'!$A$2:$A$333,"")</f>
        <v/>
      </c>
      <c r="C360" s="209" t="str">
        <f>IFERROR(VLOOKUP($B360,'Institution Evaluation'!$A$55:$F$345,2,0),IFERROR(VLOOKUP($B360,'Privacy Analyst Evaluation'!$A$46:$F$120,2,0),""))&amp;""</f>
        <v/>
      </c>
      <c r="D360" s="209" t="str">
        <f>IFERROR(VLOOKUP($B360,'Institution Evaluation'!$A$55:$F$345,3,0),IFERROR(VLOOKUP($B360,'Privacy Analyst Evaluation'!$A$46:$F$120,3,0),""))&amp;""</f>
        <v/>
      </c>
      <c r="E360" s="209" t="str">
        <f>IFERROR(VLOOKUP($B360,'Institution Evaluation'!$A$55:$F$345,4,0),IFERROR(VLOOKUP($B360,'Privacy Analyst Evaluation'!$A$46:$F$120,4,0),""))&amp;""</f>
        <v/>
      </c>
      <c r="F360" s="209" t="str">
        <f>IFERROR(VLOOKUP($B360,'Institution Evaluation'!$A$55:$F$345,6,0),IFERROR(VLOOKUP($B360,'Privacy Analyst Evaluation'!$A$46:$F$120,6,0),""))&amp;""</f>
        <v/>
      </c>
      <c r="G360" s="210"/>
      <c r="H360" s="209" t="str">
        <f>IFERROR(IF($H359+1&gt;'(backend scoring)'!$Q$335,"",$H359+1),"")</f>
        <v/>
      </c>
      <c r="I360" s="209" t="str">
        <f>_xlfn.XLOOKUP($H360,'(backend scoring)'!$S$2:$S$333,'(backend scoring)'!$A$2:$A$333,"")</f>
        <v/>
      </c>
      <c r="J360" s="209" t="str">
        <f>IFERROR(VLOOKUP($I360,'Institution Evaluation'!$A$55:$F$345,2,0),IFERROR(VLOOKUP($I360,'Privacy Analyst Evaluation'!$A$46:$F$120,2,0),""))</f>
        <v/>
      </c>
      <c r="K360" s="209" t="str">
        <f>IFERROR(VLOOKUP($I360,'Institution Evaluation'!$A$55:$F$345,3,0),IFERROR(VLOOKUP($I360,'Privacy Analyst Evaluation'!$A$46:$F$120,3,0),""))&amp;""</f>
        <v/>
      </c>
      <c r="L360" s="209" t="str">
        <f>IFERROR(VLOOKUP($I360,'Institution Evaluation'!$A$55:$F$345,4,0),IFERROR(VLOOKUP($I360,'Privacy Analyst Evaluation'!$A$46:$F$120,4,0),""))&amp;""</f>
        <v/>
      </c>
      <c r="M360" s="209" t="str">
        <f>IFERROR(VLOOKUP($I360,'Institution Evaluation'!$A$55:$F$345,6,0),IFERROR(VLOOKUP($I360,'Privacy Analyst Evaluation'!$A$46:$F$120,6,0),""))&amp;""</f>
        <v/>
      </c>
    </row>
    <row r="361" spans="1:338" x14ac:dyDescent="0.3">
      <c r="A361" s="209" t="str">
        <f>IFERROR(IF($A360+1&gt;'(backend scoring)'!$T$335,"",$A360+1),"")</f>
        <v/>
      </c>
      <c r="B361" s="209" t="str">
        <f>_xlfn.XLOOKUP($A361,'(backend scoring)'!$V$2:$V$333,'(backend scoring)'!$A$2:$A$333,"")</f>
        <v/>
      </c>
      <c r="C361" s="209" t="str">
        <f>IFERROR(VLOOKUP($B361,'Institution Evaluation'!$A$55:$F$345,2,0),IFERROR(VLOOKUP($B361,'Privacy Analyst Evaluation'!$A$46:$F$120,2,0),""))&amp;""</f>
        <v/>
      </c>
      <c r="D361" s="209" t="str">
        <f>IFERROR(VLOOKUP($B361,'Institution Evaluation'!$A$55:$F$345,3,0),IFERROR(VLOOKUP($B361,'Privacy Analyst Evaluation'!$A$46:$F$120,3,0),""))&amp;""</f>
        <v/>
      </c>
      <c r="E361" s="209" t="str">
        <f>IFERROR(VLOOKUP($B361,'Institution Evaluation'!$A$55:$F$345,4,0),IFERROR(VLOOKUP($B361,'Privacy Analyst Evaluation'!$A$46:$F$120,4,0),""))&amp;""</f>
        <v/>
      </c>
      <c r="F361" s="209" t="str">
        <f>IFERROR(VLOOKUP($B361,'Institution Evaluation'!$A$55:$F$345,6,0),IFERROR(VLOOKUP($B361,'Privacy Analyst Evaluation'!$A$46:$F$120,6,0),""))&amp;""</f>
        <v/>
      </c>
      <c r="G361" s="210"/>
      <c r="H361" s="209" t="str">
        <f>IFERROR(IF($H360+1&gt;'(backend scoring)'!$Q$335,"",$H360+1),"")</f>
        <v/>
      </c>
      <c r="I361" s="209" t="str">
        <f>_xlfn.XLOOKUP($H361,'(backend scoring)'!$S$2:$S$333,'(backend scoring)'!$A$2:$A$333,"")</f>
        <v/>
      </c>
      <c r="J361" s="209" t="str">
        <f>IFERROR(VLOOKUP($I361,'Institution Evaluation'!$A$55:$F$345,2,0),IFERROR(VLOOKUP($I361,'Privacy Analyst Evaluation'!$A$46:$F$120,2,0),""))</f>
        <v/>
      </c>
      <c r="K361" s="209" t="str">
        <f>IFERROR(VLOOKUP($I361,'Institution Evaluation'!$A$55:$F$345,3,0),IFERROR(VLOOKUP($I361,'Privacy Analyst Evaluation'!$A$46:$F$120,3,0),""))&amp;""</f>
        <v/>
      </c>
      <c r="L361" s="209" t="str">
        <f>IFERROR(VLOOKUP($I361,'Institution Evaluation'!$A$55:$F$345,4,0),IFERROR(VLOOKUP($I361,'Privacy Analyst Evaluation'!$A$46:$F$120,4,0),""))&amp;""</f>
        <v/>
      </c>
      <c r="M361" s="209" t="str">
        <f>IFERROR(VLOOKUP($I361,'Institution Evaluation'!$A$55:$F$345,6,0),IFERROR(VLOOKUP($I361,'Privacy Analyst Evaluation'!$A$46:$F$120,6,0),""))&amp;""</f>
        <v/>
      </c>
    </row>
    <row r="362" spans="1:338" x14ac:dyDescent="0.3">
      <c r="A362" s="209" t="str">
        <f>IFERROR(IF($A361+1&gt;'(backend scoring)'!$T$335,"",$A361+1),"")</f>
        <v/>
      </c>
      <c r="B362" s="209" t="str">
        <f>_xlfn.XLOOKUP($A362,'(backend scoring)'!$V$2:$V$333,'(backend scoring)'!$A$2:$A$333,"")</f>
        <v/>
      </c>
      <c r="C362" s="209" t="str">
        <f>IFERROR(VLOOKUP($B362,'Institution Evaluation'!$A$55:$F$345,2,0),IFERROR(VLOOKUP($B362,'Privacy Analyst Evaluation'!$A$46:$F$120,2,0),""))&amp;""</f>
        <v/>
      </c>
      <c r="D362" s="209" t="str">
        <f>IFERROR(VLOOKUP($B362,'Institution Evaluation'!$A$55:$F$345,3,0),IFERROR(VLOOKUP($B362,'Privacy Analyst Evaluation'!$A$46:$F$120,3,0),""))&amp;""</f>
        <v/>
      </c>
      <c r="E362" s="209" t="str">
        <f>IFERROR(VLOOKUP($B362,'Institution Evaluation'!$A$55:$F$345,4,0),IFERROR(VLOOKUP($B362,'Privacy Analyst Evaluation'!$A$46:$F$120,4,0),""))&amp;""</f>
        <v/>
      </c>
      <c r="F362" s="209" t="str">
        <f>IFERROR(VLOOKUP($B362,'Institution Evaluation'!$A$55:$F$345,6,0),IFERROR(VLOOKUP($B362,'Privacy Analyst Evaluation'!$A$46:$F$120,6,0),""))&amp;""</f>
        <v/>
      </c>
      <c r="G362" s="210"/>
      <c r="H362" s="209" t="str">
        <f>IFERROR(IF($H361+1&gt;'(backend scoring)'!$Q$335,"",$H361+1),"")</f>
        <v/>
      </c>
      <c r="I362" s="209" t="str">
        <f>_xlfn.XLOOKUP($H362,'(backend scoring)'!$S$2:$S$333,'(backend scoring)'!$A$2:$A$333,"")</f>
        <v/>
      </c>
      <c r="J362" s="209" t="str">
        <f>IFERROR(VLOOKUP($I362,'Institution Evaluation'!$A$55:$F$345,2,0),IFERROR(VLOOKUP($I362,'Privacy Analyst Evaluation'!$A$46:$F$120,2,0),""))</f>
        <v/>
      </c>
      <c r="K362" s="209" t="str">
        <f>IFERROR(VLOOKUP($I362,'Institution Evaluation'!$A$55:$F$345,3,0),IFERROR(VLOOKUP($I362,'Privacy Analyst Evaluation'!$A$46:$F$120,3,0),""))&amp;""</f>
        <v/>
      </c>
      <c r="L362" s="209" t="str">
        <f>IFERROR(VLOOKUP($I362,'Institution Evaluation'!$A$55:$F$345,4,0),IFERROR(VLOOKUP($I362,'Privacy Analyst Evaluation'!$A$46:$F$120,4,0),""))&amp;""</f>
        <v/>
      </c>
      <c r="M362" s="209" t="str">
        <f>IFERROR(VLOOKUP($I362,'Institution Evaluation'!$A$55:$F$345,6,0),IFERROR(VLOOKUP($I362,'Privacy Analyst Evaluation'!$A$46:$F$120,6,0),""))&amp;""</f>
        <v/>
      </c>
    </row>
    <row r="363" spans="1:338" x14ac:dyDescent="0.3">
      <c r="A363" s="209" t="str">
        <f>IFERROR(IF($A362+1&gt;'(backend scoring)'!$T$335,"",$A362+1),"")</f>
        <v/>
      </c>
      <c r="B363" s="209" t="str">
        <f>_xlfn.XLOOKUP($A363,'(backend scoring)'!$V$2:$V$333,'(backend scoring)'!$A$2:$A$333,"")</f>
        <v/>
      </c>
      <c r="C363" s="209" t="str">
        <f>IFERROR(VLOOKUP($B363,'Institution Evaluation'!$A$55:$F$345,2,0),IFERROR(VLOOKUP($B363,'Privacy Analyst Evaluation'!$A$46:$F$120,2,0),""))&amp;""</f>
        <v/>
      </c>
      <c r="D363" s="209" t="str">
        <f>IFERROR(VLOOKUP($B363,'Institution Evaluation'!$A$55:$F$345,3,0),IFERROR(VLOOKUP($B363,'Privacy Analyst Evaluation'!$A$46:$F$120,3,0),""))&amp;""</f>
        <v/>
      </c>
      <c r="E363" s="209" t="str">
        <f>IFERROR(VLOOKUP($B363,'Institution Evaluation'!$A$55:$F$345,4,0),IFERROR(VLOOKUP($B363,'Privacy Analyst Evaluation'!$A$46:$F$120,4,0),""))&amp;""</f>
        <v/>
      </c>
      <c r="F363" s="209" t="str">
        <f>IFERROR(VLOOKUP($B363,'Institution Evaluation'!$A$55:$F$345,6,0),IFERROR(VLOOKUP($B363,'Privacy Analyst Evaluation'!$A$46:$F$120,6,0),""))&amp;""</f>
        <v/>
      </c>
      <c r="G363" s="210"/>
      <c r="H363" s="209" t="str">
        <f>IFERROR(IF($H362+1&gt;'(backend scoring)'!$Q$335,"",$H362+1),"")</f>
        <v/>
      </c>
      <c r="I363" s="209" t="str">
        <f>_xlfn.XLOOKUP($H363,'(backend scoring)'!$S$2:$S$333,'(backend scoring)'!$A$2:$A$333,"")</f>
        <v/>
      </c>
      <c r="J363" s="209" t="str">
        <f>IFERROR(VLOOKUP($I363,'Institution Evaluation'!$A$55:$F$345,2,0),IFERROR(VLOOKUP($I363,'Privacy Analyst Evaluation'!$A$46:$F$120,2,0),""))</f>
        <v/>
      </c>
      <c r="K363" s="209" t="str">
        <f>IFERROR(VLOOKUP($I363,'Institution Evaluation'!$A$55:$F$345,3,0),IFERROR(VLOOKUP($I363,'Privacy Analyst Evaluation'!$A$46:$F$120,3,0),""))&amp;""</f>
        <v/>
      </c>
      <c r="L363" s="209" t="str">
        <f>IFERROR(VLOOKUP($I363,'Institution Evaluation'!$A$55:$F$345,4,0),IFERROR(VLOOKUP($I363,'Privacy Analyst Evaluation'!$A$46:$F$120,4,0),""))&amp;""</f>
        <v/>
      </c>
      <c r="M363" s="209" t="str">
        <f>IFERROR(VLOOKUP($I363,'Institution Evaluation'!$A$55:$F$345,6,0),IFERROR(VLOOKUP($I363,'Privacy Analyst Evaluation'!$A$46:$F$120,6,0),""))&amp;""</f>
        <v/>
      </c>
    </row>
    <row r="364" spans="1:338" x14ac:dyDescent="0.3">
      <c r="A364" s="209" t="str">
        <f>IFERROR(IF($A363+1&gt;'(backend scoring)'!$T$335,"",$A363+1),"")</f>
        <v/>
      </c>
      <c r="B364" s="209" t="str">
        <f>_xlfn.XLOOKUP($A364,'(backend scoring)'!$V$2:$V$333,'(backend scoring)'!$A$2:$A$333,"")</f>
        <v/>
      </c>
      <c r="C364" s="209" t="str">
        <f>IFERROR(VLOOKUP($B364,'Institution Evaluation'!$A$55:$F$345,2,0),IFERROR(VLOOKUP($B364,'Privacy Analyst Evaluation'!$A$46:$F$120,2,0),""))&amp;""</f>
        <v/>
      </c>
      <c r="D364" s="209" t="str">
        <f>IFERROR(VLOOKUP($B364,'Institution Evaluation'!$A$55:$F$345,3,0),IFERROR(VLOOKUP($B364,'Privacy Analyst Evaluation'!$A$46:$F$120,3,0),""))&amp;""</f>
        <v/>
      </c>
      <c r="E364" s="209" t="str">
        <f>IFERROR(VLOOKUP($B364,'Institution Evaluation'!$A$55:$F$345,4,0),IFERROR(VLOOKUP($B364,'Privacy Analyst Evaluation'!$A$46:$F$120,4,0),""))&amp;""</f>
        <v/>
      </c>
      <c r="F364" s="209" t="str">
        <f>IFERROR(VLOOKUP($B364,'Institution Evaluation'!$A$55:$F$345,6,0),IFERROR(VLOOKUP($B364,'Privacy Analyst Evaluation'!$A$46:$F$120,6,0),""))&amp;""</f>
        <v/>
      </c>
      <c r="G364" s="210"/>
      <c r="H364" s="209" t="str">
        <f>IFERROR(IF($H363+1&gt;'(backend scoring)'!$Q$335,"",$H363+1),"")</f>
        <v/>
      </c>
      <c r="I364" s="209" t="str">
        <f>_xlfn.XLOOKUP($H364,'(backend scoring)'!$S$2:$S$333,'(backend scoring)'!$A$2:$A$333,"")</f>
        <v/>
      </c>
      <c r="J364" s="209" t="str">
        <f>IFERROR(VLOOKUP($I364,'Institution Evaluation'!$A$55:$F$345,2,0),IFERROR(VLOOKUP($I364,'Privacy Analyst Evaluation'!$A$46:$F$120,2,0),""))</f>
        <v/>
      </c>
      <c r="K364" s="209" t="str">
        <f>IFERROR(VLOOKUP($I364,'Institution Evaluation'!$A$55:$F$345,3,0),IFERROR(VLOOKUP($I364,'Privacy Analyst Evaluation'!$A$46:$F$120,3,0),""))&amp;""</f>
        <v/>
      </c>
      <c r="L364" s="209" t="str">
        <f>IFERROR(VLOOKUP($I364,'Institution Evaluation'!$A$55:$F$345,4,0),IFERROR(VLOOKUP($I364,'Privacy Analyst Evaluation'!$A$46:$F$120,4,0),""))&amp;""</f>
        <v/>
      </c>
      <c r="M364" s="209" t="str">
        <f>IFERROR(VLOOKUP($I364,'Institution Evaluation'!$A$55:$F$345,6,0),IFERROR(VLOOKUP($I364,'Privacy Analyst Evaluation'!$A$46:$F$120,6,0),""))&amp;""</f>
        <v/>
      </c>
    </row>
    <row r="365" spans="1:338" x14ac:dyDescent="0.3">
      <c r="A365" s="209" t="str">
        <f>IFERROR(IF($A364+1&gt;'(backend scoring)'!$T$335,"",$A364+1),"")</f>
        <v/>
      </c>
      <c r="B365" s="209" t="str">
        <f>_xlfn.XLOOKUP($A365,'(backend scoring)'!$V$2:$V$333,'(backend scoring)'!$A$2:$A$333,"")</f>
        <v/>
      </c>
      <c r="C365" s="209" t="str">
        <f>IFERROR(VLOOKUP($B365,'Institution Evaluation'!$A$55:$F$345,2,0),IFERROR(VLOOKUP($B365,'Privacy Analyst Evaluation'!$A$46:$F$120,2,0),""))&amp;""</f>
        <v/>
      </c>
      <c r="D365" s="209" t="str">
        <f>IFERROR(VLOOKUP($B365,'Institution Evaluation'!$A$55:$F$345,3,0),IFERROR(VLOOKUP($B365,'Privacy Analyst Evaluation'!$A$46:$F$120,3,0),""))&amp;""</f>
        <v/>
      </c>
      <c r="E365" s="209" t="str">
        <f>IFERROR(VLOOKUP($B365,'Institution Evaluation'!$A$55:$F$345,4,0),IFERROR(VLOOKUP($B365,'Privacy Analyst Evaluation'!$A$46:$F$120,4,0),""))&amp;""</f>
        <v/>
      </c>
      <c r="F365" s="209" t="str">
        <f>IFERROR(VLOOKUP($B365,'Institution Evaluation'!$A$55:$F$345,6,0),IFERROR(VLOOKUP($B365,'Privacy Analyst Evaluation'!$A$46:$F$120,6,0),""))&amp;""</f>
        <v/>
      </c>
      <c r="G365" s="210"/>
      <c r="H365" s="209" t="str">
        <f>IFERROR(IF($H364+1&gt;'(backend scoring)'!$Q$335,"",$H364+1),"")</f>
        <v/>
      </c>
      <c r="I365" s="209" t="str">
        <f>_xlfn.XLOOKUP($H365,'(backend scoring)'!$S$2:$S$333,'(backend scoring)'!$A$2:$A$333,"")</f>
        <v/>
      </c>
      <c r="J365" s="209" t="str">
        <f>IFERROR(VLOOKUP($I365,'Institution Evaluation'!$A$55:$F$345,2,0),IFERROR(VLOOKUP($I365,'Privacy Analyst Evaluation'!$A$46:$F$120,2,0),""))</f>
        <v/>
      </c>
      <c r="K365" s="209" t="str">
        <f>IFERROR(VLOOKUP($I365,'Institution Evaluation'!$A$55:$F$345,3,0),IFERROR(VLOOKUP($I365,'Privacy Analyst Evaluation'!$A$46:$F$120,3,0),""))&amp;""</f>
        <v/>
      </c>
      <c r="L365" s="209" t="str">
        <f>IFERROR(VLOOKUP($I365,'Institution Evaluation'!$A$55:$F$345,4,0),IFERROR(VLOOKUP($I365,'Privacy Analyst Evaluation'!$A$46:$F$120,4,0),""))&amp;""</f>
        <v/>
      </c>
      <c r="M365" s="209" t="str">
        <f>IFERROR(VLOOKUP($I365,'Institution Evaluation'!$A$55:$F$345,6,0),IFERROR(VLOOKUP($I365,'Privacy Analyst Evaluation'!$A$46:$F$120,6,0),""))&amp;""</f>
        <v/>
      </c>
    </row>
    <row r="366" spans="1:338" x14ac:dyDescent="0.3">
      <c r="A366" s="209" t="str">
        <f>IFERROR(IF($A365+1&gt;'(backend scoring)'!$T$335,"",$A365+1),"")</f>
        <v/>
      </c>
      <c r="B366" s="209" t="str">
        <f>_xlfn.XLOOKUP($A366,'(backend scoring)'!$V$2:$V$333,'(backend scoring)'!$A$2:$A$333,"")</f>
        <v/>
      </c>
      <c r="C366" s="209" t="str">
        <f>IFERROR(VLOOKUP($B366,'Institution Evaluation'!$A$55:$F$345,2,0),IFERROR(VLOOKUP($B366,'Privacy Analyst Evaluation'!$A$46:$F$120,2,0),""))&amp;""</f>
        <v/>
      </c>
      <c r="D366" s="209" t="str">
        <f>IFERROR(VLOOKUP($B366,'Institution Evaluation'!$A$55:$F$345,3,0),IFERROR(VLOOKUP($B366,'Privacy Analyst Evaluation'!$A$46:$F$120,3,0),""))&amp;""</f>
        <v/>
      </c>
      <c r="E366" s="209" t="str">
        <f>IFERROR(VLOOKUP($B366,'Institution Evaluation'!$A$55:$F$345,4,0),IFERROR(VLOOKUP($B366,'Privacy Analyst Evaluation'!$A$46:$F$120,4,0),""))&amp;""</f>
        <v/>
      </c>
      <c r="F366" s="209" t="str">
        <f>IFERROR(VLOOKUP($B366,'Institution Evaluation'!$A$55:$F$345,6,0),IFERROR(VLOOKUP($B366,'Privacy Analyst Evaluation'!$A$46:$F$120,6,0),""))&amp;""</f>
        <v/>
      </c>
      <c r="G366" s="210"/>
      <c r="H366" s="209" t="str">
        <f>IFERROR(IF($H365+1&gt;'(backend scoring)'!$Q$335,"",$H365+1),"")</f>
        <v/>
      </c>
      <c r="I366" s="209" t="str">
        <f>_xlfn.XLOOKUP($H366,'(backend scoring)'!$S$2:$S$333,'(backend scoring)'!$A$2:$A$333,"")</f>
        <v/>
      </c>
      <c r="J366" s="209" t="str">
        <f>IFERROR(VLOOKUP($I366,'Institution Evaluation'!$A$55:$F$345,2,0),IFERROR(VLOOKUP($I366,'Privacy Analyst Evaluation'!$A$46:$F$120,2,0),""))</f>
        <v/>
      </c>
      <c r="K366" s="209" t="str">
        <f>IFERROR(VLOOKUP($I366,'Institution Evaluation'!$A$55:$F$345,3,0),IFERROR(VLOOKUP($I366,'Privacy Analyst Evaluation'!$A$46:$F$120,3,0),""))&amp;""</f>
        <v/>
      </c>
      <c r="L366" s="209" t="str">
        <f>IFERROR(VLOOKUP($I366,'Institution Evaluation'!$A$55:$F$345,4,0),IFERROR(VLOOKUP($I366,'Privacy Analyst Evaluation'!$A$46:$F$120,4,0),""))&amp;""</f>
        <v/>
      </c>
      <c r="M366" s="209" t="str">
        <f>IFERROR(VLOOKUP($I366,'Institution Evaluation'!$A$55:$F$345,6,0),IFERROR(VLOOKUP($I366,'Privacy Analyst Evaluation'!$A$46:$F$120,6,0),""))&amp;""</f>
        <v/>
      </c>
    </row>
    <row r="367" spans="1:338" x14ac:dyDescent="0.3">
      <c r="A367" s="209" t="str">
        <f>IFERROR(IF($A366+1&gt;'(backend scoring)'!$T$335,"",$A366+1),"")</f>
        <v/>
      </c>
      <c r="B367" s="209" t="str">
        <f>_xlfn.XLOOKUP($A367,'(backend scoring)'!$V$2:$V$333,'(backend scoring)'!$A$2:$A$333,"")</f>
        <v/>
      </c>
      <c r="C367" s="209" t="str">
        <f>IFERROR(VLOOKUP($B367,'Institution Evaluation'!$A$55:$F$345,2,0),IFERROR(VLOOKUP($B367,'Privacy Analyst Evaluation'!$A$46:$F$120,2,0),""))&amp;""</f>
        <v/>
      </c>
      <c r="D367" s="209" t="str">
        <f>IFERROR(VLOOKUP($B367,'Institution Evaluation'!$A$55:$F$345,3,0),IFERROR(VLOOKUP($B367,'Privacy Analyst Evaluation'!$A$46:$F$120,3,0),""))&amp;""</f>
        <v/>
      </c>
      <c r="E367" s="209" t="str">
        <f>IFERROR(VLOOKUP($B367,'Institution Evaluation'!$A$55:$F$345,4,0),IFERROR(VLOOKUP($B367,'Privacy Analyst Evaluation'!$A$46:$F$120,4,0),""))&amp;""</f>
        <v/>
      </c>
      <c r="F367" s="209" t="str">
        <f>IFERROR(VLOOKUP($B367,'Institution Evaluation'!$A$55:$F$345,6,0),IFERROR(VLOOKUP($B367,'Privacy Analyst Evaluation'!$A$46:$F$120,6,0),""))&amp;""</f>
        <v/>
      </c>
      <c r="G367" s="210"/>
      <c r="H367" s="209" t="str">
        <f>IFERROR(IF($H366+1&gt;'(backend scoring)'!$Q$335,"",$H366+1),"")</f>
        <v/>
      </c>
      <c r="I367" s="209" t="str">
        <f>_xlfn.XLOOKUP($H367,'(backend scoring)'!$S$2:$S$333,'(backend scoring)'!$A$2:$A$333,"")</f>
        <v/>
      </c>
      <c r="J367" s="209" t="str">
        <f>IFERROR(VLOOKUP($I367,'Institution Evaluation'!$A$55:$F$345,2,0),IFERROR(VLOOKUP($I367,'Privacy Analyst Evaluation'!$A$46:$F$120,2,0),""))</f>
        <v/>
      </c>
      <c r="K367" s="209" t="str">
        <f>IFERROR(VLOOKUP($I367,'Institution Evaluation'!$A$55:$F$345,3,0),IFERROR(VLOOKUP($I367,'Privacy Analyst Evaluation'!$A$46:$F$120,3,0),""))&amp;""</f>
        <v/>
      </c>
      <c r="L367" s="209" t="str">
        <f>IFERROR(VLOOKUP($I367,'Institution Evaluation'!$A$55:$F$345,4,0),IFERROR(VLOOKUP($I367,'Privacy Analyst Evaluation'!$A$46:$F$120,4,0),""))&amp;""</f>
        <v/>
      </c>
      <c r="M367" s="209" t="str">
        <f>IFERROR(VLOOKUP($I367,'Institution Evaluation'!$A$55:$F$345,6,0),IFERROR(VLOOKUP($I367,'Privacy Analyst Evaluation'!$A$46:$F$120,6,0),""))&amp;""</f>
        <v/>
      </c>
    </row>
    <row r="368" spans="1:338" x14ac:dyDescent="0.25">
      <c r="A368" s="209" t="str">
        <f>IFERROR(IF($A367+1&gt;'(backend scoring)'!$T$335,"",$A367+1),"")</f>
        <v/>
      </c>
      <c r="B368" s="209" t="str">
        <f>_xlfn.XLOOKUP($A368,'(backend scoring)'!$V$2:$V$333,'(backend scoring)'!$A$2:$A$333,"")</f>
        <v/>
      </c>
      <c r="C368" s="209" t="str">
        <f>IFERROR(VLOOKUP($B368,'Institution Evaluation'!$A$55:$F$345,2,0),IFERROR(VLOOKUP($B368,'Privacy Analyst Evaluation'!$A$46:$F$120,2,0),""))&amp;""</f>
        <v/>
      </c>
      <c r="D368" s="209" t="str">
        <f>IFERROR(VLOOKUP($B368,'Institution Evaluation'!$A$55:$F$345,3,0),IFERROR(VLOOKUP($B368,'Privacy Analyst Evaluation'!$A$46:$F$120,3,0),""))&amp;""</f>
        <v/>
      </c>
      <c r="E368" s="209" t="str">
        <f>IFERROR(VLOOKUP($B368,'Institution Evaluation'!$A$55:$F$345,4,0),IFERROR(VLOOKUP($B368,'Privacy Analyst Evaluation'!$A$46:$F$120,4,0),""))&amp;""</f>
        <v/>
      </c>
      <c r="F368" s="209" t="str">
        <f>IFERROR(VLOOKUP($B368,'Institution Evaluation'!$A$55:$F$345,6,0),IFERROR(VLOOKUP($B368,'Privacy Analyst Evaluation'!$A$46:$F$120,6,0),""))&amp;""</f>
        <v/>
      </c>
      <c r="G368" s="210"/>
      <c r="H368" s="209" t="str">
        <f>IFERROR(IF($H367+1&gt;'(backend scoring)'!$Q$335,"",$H367+1),"")</f>
        <v/>
      </c>
      <c r="I368" s="209" t="str">
        <f>_xlfn.XLOOKUP($H368,'(backend scoring)'!$S$2:$S$333,'(backend scoring)'!$A$2:$A$333,"")</f>
        <v/>
      </c>
      <c r="J368" s="209" t="str">
        <f>IFERROR(VLOOKUP($I368,'Institution Evaluation'!$A$55:$F$345,2,0),IFERROR(VLOOKUP($I368,'Privacy Analyst Evaluation'!$A$46:$F$120,2,0),""))</f>
        <v/>
      </c>
      <c r="K368" s="209" t="str">
        <f>IFERROR(VLOOKUP($I368,'Institution Evaluation'!$A$55:$F$345,3,0),IFERROR(VLOOKUP($I368,'Privacy Analyst Evaluation'!$A$46:$F$120,3,0),""))&amp;""</f>
        <v/>
      </c>
      <c r="L368" s="209" t="str">
        <f>IFERROR(VLOOKUP($I368,'Institution Evaluation'!$A$55:$F$345,4,0),IFERROR(VLOOKUP($I368,'Privacy Analyst Evaluation'!$A$46:$F$120,4,0),""))&amp;""</f>
        <v/>
      </c>
      <c r="M368" s="209" t="str">
        <f>IFERROR(VLOOKUP($I368,'Institution Evaluation'!$A$55:$F$345,6,0),IFERROR(VLOOKUP($I368,'Privacy Analyst Evaluation'!$A$46:$F$120,6,0),""))&amp;""</f>
        <v/>
      </c>
      <c r="N368" s="238" t="s">
        <v>1449</v>
      </c>
    </row>
    <row r="369" spans="1:2" x14ac:dyDescent="0.3">
      <c r="A369" s="239" t="s">
        <v>1450</v>
      </c>
      <c r="B369" s="239" t="s">
        <v>1450</v>
      </c>
    </row>
    <row r="370" spans="1:2" hidden="1" x14ac:dyDescent="0.3">
      <c r="A370"/>
      <c r="B370"/>
    </row>
    <row r="371" spans="1:2" hidden="1" x14ac:dyDescent="0.3">
      <c r="A371"/>
      <c r="B371"/>
    </row>
    <row r="372" spans="1:2" hidden="1" x14ac:dyDescent="0.3">
      <c r="A372"/>
      <c r="B372"/>
    </row>
    <row r="373" spans="1:2" hidden="1" x14ac:dyDescent="0.3">
      <c r="A373"/>
      <c r="B373"/>
    </row>
    <row r="374" spans="1:2" hidden="1" x14ac:dyDescent="0.3">
      <c r="A374"/>
      <c r="B374"/>
    </row>
    <row r="375" spans="1:2" hidden="1" x14ac:dyDescent="0.3">
      <c r="A375"/>
      <c r="B375"/>
    </row>
    <row r="376" spans="1:2" hidden="1" x14ac:dyDescent="0.3">
      <c r="A376"/>
      <c r="B376"/>
    </row>
    <row r="377" spans="1:2" hidden="1" x14ac:dyDescent="0.3">
      <c r="A377"/>
      <c r="B377"/>
    </row>
    <row r="378" spans="1:2" hidden="1" x14ac:dyDescent="0.3">
      <c r="A378"/>
      <c r="B378"/>
    </row>
    <row r="379" spans="1:2" hidden="1" x14ac:dyDescent="0.3">
      <c r="A379"/>
      <c r="B379"/>
    </row>
    <row r="380" spans="1:2" hidden="1" x14ac:dyDescent="0.3">
      <c r="A380"/>
      <c r="B380"/>
    </row>
    <row r="381" spans="1:2" hidden="1" x14ac:dyDescent="0.3">
      <c r="A381"/>
      <c r="B381"/>
    </row>
    <row r="382" spans="1:2" hidden="1" x14ac:dyDescent="0.3">
      <c r="A382"/>
      <c r="B382"/>
    </row>
    <row r="383" spans="1:2" hidden="1" x14ac:dyDescent="0.3">
      <c r="A383"/>
      <c r="B383"/>
    </row>
    <row r="384" spans="1:2" hidden="1" x14ac:dyDescent="0.3">
      <c r="A384"/>
      <c r="B384"/>
    </row>
    <row r="385" spans="1:2" hidden="1" x14ac:dyDescent="0.3">
      <c r="A385"/>
      <c r="B385"/>
    </row>
    <row r="386" spans="1:2" hidden="1" x14ac:dyDescent="0.3">
      <c r="A386"/>
      <c r="B386"/>
    </row>
    <row r="387" spans="1:2" hidden="1" x14ac:dyDescent="0.3">
      <c r="A387"/>
      <c r="B387"/>
    </row>
    <row r="388" spans="1:2" hidden="1" x14ac:dyDescent="0.3">
      <c r="A388"/>
      <c r="B388"/>
    </row>
    <row r="389" spans="1:2" hidden="1" x14ac:dyDescent="0.3">
      <c r="A389"/>
      <c r="B389"/>
    </row>
    <row r="390" spans="1:2" hidden="1" x14ac:dyDescent="0.3">
      <c r="A390"/>
      <c r="B390"/>
    </row>
    <row r="391" spans="1:2" hidden="1" x14ac:dyDescent="0.3">
      <c r="A391"/>
      <c r="B391"/>
    </row>
    <row r="392" spans="1:2" hidden="1" x14ac:dyDescent="0.3">
      <c r="A392"/>
      <c r="B392"/>
    </row>
    <row r="393" spans="1:2" hidden="1" x14ac:dyDescent="0.3">
      <c r="A393"/>
      <c r="B393"/>
    </row>
    <row r="394" spans="1:2" hidden="1" x14ac:dyDescent="0.3">
      <c r="A394"/>
      <c r="B394"/>
    </row>
    <row r="395" spans="1:2" hidden="1" x14ac:dyDescent="0.3">
      <c r="A395"/>
      <c r="B395"/>
    </row>
    <row r="396" spans="1:2" hidden="1" x14ac:dyDescent="0.3">
      <c r="A396"/>
      <c r="B396"/>
    </row>
    <row r="397" spans="1:2" hidden="1" x14ac:dyDescent="0.3">
      <c r="A397"/>
      <c r="B397"/>
    </row>
    <row r="398" spans="1:2" hidden="1" x14ac:dyDescent="0.3">
      <c r="A398"/>
      <c r="B398"/>
    </row>
    <row r="399" spans="1:2" hidden="1" x14ac:dyDescent="0.3">
      <c r="A399"/>
      <c r="B399"/>
    </row>
    <row r="400" spans="1:2" hidden="1" x14ac:dyDescent="0.3">
      <c r="A400"/>
      <c r="B400"/>
    </row>
    <row r="401" spans="1:2" hidden="1" x14ac:dyDescent="0.3">
      <c r="A401"/>
      <c r="B401"/>
    </row>
    <row r="402" spans="1:2" hidden="1" x14ac:dyDescent="0.3">
      <c r="A402"/>
      <c r="B402"/>
    </row>
    <row r="403" spans="1:2" hidden="1" x14ac:dyDescent="0.3">
      <c r="A403"/>
      <c r="B403"/>
    </row>
    <row r="404" spans="1:2" hidden="1" x14ac:dyDescent="0.3">
      <c r="A404"/>
      <c r="B404"/>
    </row>
    <row r="405" spans="1:2" hidden="1" x14ac:dyDescent="0.3">
      <c r="A405"/>
      <c r="B405"/>
    </row>
    <row r="406" spans="1:2" hidden="1" x14ac:dyDescent="0.3">
      <c r="A406"/>
      <c r="B406"/>
    </row>
    <row r="407" spans="1:2" hidden="1" x14ac:dyDescent="0.3">
      <c r="A407"/>
      <c r="B407"/>
    </row>
    <row r="408" spans="1:2" hidden="1" x14ac:dyDescent="0.3">
      <c r="A408"/>
      <c r="B408"/>
    </row>
    <row r="409" spans="1:2" hidden="1" x14ac:dyDescent="0.3">
      <c r="A409"/>
      <c r="B409"/>
    </row>
    <row r="410" spans="1:2" hidden="1" x14ac:dyDescent="0.3">
      <c r="A410"/>
      <c r="B410"/>
    </row>
    <row r="411" spans="1:2" hidden="1" x14ac:dyDescent="0.3">
      <c r="A411"/>
      <c r="B411"/>
    </row>
    <row r="412" spans="1:2" hidden="1" x14ac:dyDescent="0.3">
      <c r="A412"/>
      <c r="B412"/>
    </row>
    <row r="413" spans="1:2" hidden="1" x14ac:dyDescent="0.3">
      <c r="A413"/>
      <c r="B413"/>
    </row>
    <row r="414" spans="1:2" hidden="1" x14ac:dyDescent="0.3">
      <c r="A414"/>
      <c r="B414"/>
    </row>
    <row r="415" spans="1:2" hidden="1" x14ac:dyDescent="0.3">
      <c r="A415"/>
      <c r="B415"/>
    </row>
    <row r="416" spans="1:2" hidden="1" x14ac:dyDescent="0.3">
      <c r="A416"/>
      <c r="B416"/>
    </row>
    <row r="417" spans="1:2" hidden="1" x14ac:dyDescent="0.3">
      <c r="A417"/>
      <c r="B417"/>
    </row>
    <row r="418" spans="1:2" hidden="1" x14ac:dyDescent="0.3">
      <c r="A418"/>
      <c r="B418"/>
    </row>
    <row r="419" spans="1:2" hidden="1" x14ac:dyDescent="0.3">
      <c r="A419"/>
      <c r="B419"/>
    </row>
    <row r="420" spans="1:2" hidden="1" x14ac:dyDescent="0.3">
      <c r="A420"/>
      <c r="B420"/>
    </row>
    <row r="421" spans="1:2" hidden="1" x14ac:dyDescent="0.3">
      <c r="A421"/>
      <c r="B421"/>
    </row>
    <row r="422" spans="1:2" hidden="1" x14ac:dyDescent="0.3">
      <c r="A422"/>
      <c r="B422"/>
    </row>
    <row r="423" spans="1:2" hidden="1" x14ac:dyDescent="0.3">
      <c r="A423"/>
      <c r="B423"/>
    </row>
    <row r="424" spans="1:2" hidden="1" x14ac:dyDescent="0.3">
      <c r="A424"/>
      <c r="B424"/>
    </row>
    <row r="425" spans="1:2" hidden="1" x14ac:dyDescent="0.3">
      <c r="A425"/>
      <c r="B425"/>
    </row>
    <row r="426" spans="1:2" hidden="1" x14ac:dyDescent="0.3">
      <c r="A426"/>
      <c r="B426"/>
    </row>
    <row r="427" spans="1:2" hidden="1" x14ac:dyDescent="0.3">
      <c r="A427"/>
      <c r="B427"/>
    </row>
    <row r="428" spans="1:2" hidden="1" x14ac:dyDescent="0.3">
      <c r="A428"/>
      <c r="B428"/>
    </row>
    <row r="429" spans="1:2" hidden="1" x14ac:dyDescent="0.3">
      <c r="A429"/>
      <c r="B429"/>
    </row>
    <row r="430" spans="1:2" hidden="1" x14ac:dyDescent="0.3">
      <c r="A430"/>
      <c r="B430"/>
    </row>
    <row r="431" spans="1:2" hidden="1" x14ac:dyDescent="0.3">
      <c r="A431"/>
      <c r="B431"/>
    </row>
    <row r="432" spans="1:2" hidden="1" x14ac:dyDescent="0.3">
      <c r="A432"/>
      <c r="B432"/>
    </row>
    <row r="433" spans="1:2" hidden="1" x14ac:dyDescent="0.3">
      <c r="A433"/>
      <c r="B433"/>
    </row>
    <row r="434" spans="1:2" hidden="1" x14ac:dyDescent="0.3">
      <c r="A434"/>
      <c r="B434"/>
    </row>
    <row r="435" spans="1:2" hidden="1" x14ac:dyDescent="0.3">
      <c r="A435"/>
      <c r="B435"/>
    </row>
    <row r="436" spans="1:2" hidden="1" x14ac:dyDescent="0.3">
      <c r="A436"/>
      <c r="B436"/>
    </row>
    <row r="437" spans="1:2" hidden="1" x14ac:dyDescent="0.3">
      <c r="A437"/>
      <c r="B437"/>
    </row>
    <row r="438" spans="1:2" hidden="1" x14ac:dyDescent="0.3">
      <c r="A438"/>
      <c r="B438"/>
    </row>
    <row r="439" spans="1:2" hidden="1" x14ac:dyDescent="0.3">
      <c r="A439"/>
      <c r="B439"/>
    </row>
    <row r="440" spans="1:2" hidden="1" x14ac:dyDescent="0.3">
      <c r="A440"/>
      <c r="B440"/>
    </row>
    <row r="441" spans="1:2" hidden="1" x14ac:dyDescent="0.3">
      <c r="A441"/>
      <c r="B441"/>
    </row>
    <row r="442" spans="1:2" hidden="1" x14ac:dyDescent="0.3">
      <c r="A442"/>
      <c r="B442"/>
    </row>
    <row r="443" spans="1:2" hidden="1" x14ac:dyDescent="0.3">
      <c r="A443"/>
      <c r="B443"/>
    </row>
    <row r="444" spans="1:2" hidden="1" x14ac:dyDescent="0.3">
      <c r="A444"/>
      <c r="B444"/>
    </row>
    <row r="445" spans="1:2" hidden="1" x14ac:dyDescent="0.3">
      <c r="A445"/>
      <c r="B445"/>
    </row>
    <row r="446" spans="1:2" hidden="1" x14ac:dyDescent="0.3">
      <c r="A446"/>
      <c r="B446"/>
    </row>
    <row r="447" spans="1:2" hidden="1" x14ac:dyDescent="0.3">
      <c r="A447"/>
      <c r="B447"/>
    </row>
    <row r="448" spans="1:2" hidden="1" x14ac:dyDescent="0.3">
      <c r="A448"/>
      <c r="B448"/>
    </row>
    <row r="449" spans="1:2" hidden="1" x14ac:dyDescent="0.3">
      <c r="A449"/>
      <c r="B449"/>
    </row>
    <row r="450" spans="1:2" hidden="1" x14ac:dyDescent="0.3">
      <c r="A450"/>
      <c r="B450"/>
    </row>
    <row r="451" spans="1:2" hidden="1" x14ac:dyDescent="0.3">
      <c r="A451"/>
      <c r="B451"/>
    </row>
    <row r="452" spans="1:2" hidden="1" x14ac:dyDescent="0.3">
      <c r="A452"/>
      <c r="B452"/>
    </row>
    <row r="453" spans="1:2" hidden="1" x14ac:dyDescent="0.3">
      <c r="A453"/>
      <c r="B453"/>
    </row>
    <row r="454" spans="1:2" hidden="1" x14ac:dyDescent="0.3">
      <c r="A454"/>
      <c r="B454"/>
    </row>
    <row r="455" spans="1:2" hidden="1" x14ac:dyDescent="0.3">
      <c r="A455"/>
      <c r="B455"/>
    </row>
    <row r="456" spans="1:2" hidden="1" x14ac:dyDescent="0.3">
      <c r="A456"/>
      <c r="B456"/>
    </row>
    <row r="457" spans="1:2" hidden="1" x14ac:dyDescent="0.3">
      <c r="A457"/>
      <c r="B457"/>
    </row>
    <row r="458" spans="1:2" hidden="1" x14ac:dyDescent="0.3">
      <c r="A458"/>
      <c r="B458"/>
    </row>
    <row r="459" spans="1:2" hidden="1" x14ac:dyDescent="0.3">
      <c r="A459"/>
      <c r="B459"/>
    </row>
    <row r="460" spans="1:2" hidden="1" x14ac:dyDescent="0.3">
      <c r="A460"/>
      <c r="B460"/>
    </row>
    <row r="461" spans="1:2" hidden="1" x14ac:dyDescent="0.3">
      <c r="A461"/>
      <c r="B461"/>
    </row>
    <row r="462" spans="1:2" hidden="1" x14ac:dyDescent="0.3">
      <c r="A462"/>
      <c r="B462"/>
    </row>
    <row r="463" spans="1:2" hidden="1" x14ac:dyDescent="0.3">
      <c r="A463"/>
      <c r="B463"/>
    </row>
    <row r="464" spans="1:2" hidden="1" x14ac:dyDescent="0.3">
      <c r="A464"/>
      <c r="B464"/>
    </row>
    <row r="465" spans="1:2" hidden="1" x14ac:dyDescent="0.3">
      <c r="A465"/>
      <c r="B465"/>
    </row>
    <row r="466" spans="1:2" hidden="1" x14ac:dyDescent="0.3">
      <c r="A466"/>
      <c r="B466"/>
    </row>
    <row r="467" spans="1:2" hidden="1" x14ac:dyDescent="0.3">
      <c r="A467"/>
      <c r="B467"/>
    </row>
    <row r="468" spans="1:2" hidden="1" x14ac:dyDescent="0.3">
      <c r="A468"/>
      <c r="B468"/>
    </row>
    <row r="469" spans="1:2" hidden="1" x14ac:dyDescent="0.3">
      <c r="A469"/>
      <c r="B469"/>
    </row>
    <row r="470" spans="1:2" hidden="1" x14ac:dyDescent="0.3">
      <c r="A470"/>
      <c r="B470"/>
    </row>
    <row r="471" spans="1:2" hidden="1" x14ac:dyDescent="0.3">
      <c r="A471"/>
      <c r="B471"/>
    </row>
    <row r="472" spans="1:2" hidden="1" x14ac:dyDescent="0.3">
      <c r="A472"/>
      <c r="B472"/>
    </row>
    <row r="473" spans="1:2" hidden="1" x14ac:dyDescent="0.3">
      <c r="A473"/>
      <c r="B473"/>
    </row>
    <row r="474" spans="1:2" hidden="1" x14ac:dyDescent="0.3">
      <c r="A474"/>
      <c r="B474"/>
    </row>
    <row r="475" spans="1:2" hidden="1" x14ac:dyDescent="0.3">
      <c r="A475"/>
      <c r="B475"/>
    </row>
    <row r="476" spans="1:2" hidden="1" x14ac:dyDescent="0.3">
      <c r="A476"/>
      <c r="B476"/>
    </row>
    <row r="477" spans="1:2" hidden="1" x14ac:dyDescent="0.3">
      <c r="A477"/>
      <c r="B477"/>
    </row>
    <row r="478" spans="1:2" hidden="1" x14ac:dyDescent="0.3">
      <c r="A478"/>
      <c r="B478"/>
    </row>
    <row r="479" spans="1:2" hidden="1" x14ac:dyDescent="0.3">
      <c r="A479"/>
      <c r="B479"/>
    </row>
    <row r="480" spans="1:2" hidden="1" x14ac:dyDescent="0.3">
      <c r="A480"/>
      <c r="B480"/>
    </row>
    <row r="481" spans="1:2" hidden="1" x14ac:dyDescent="0.3">
      <c r="A481"/>
      <c r="B481"/>
    </row>
    <row r="482" spans="1:2" hidden="1" x14ac:dyDescent="0.3">
      <c r="A482"/>
      <c r="B482"/>
    </row>
    <row r="483" spans="1:2" hidden="1" x14ac:dyDescent="0.3">
      <c r="A483"/>
      <c r="B483"/>
    </row>
    <row r="484" spans="1:2" hidden="1" x14ac:dyDescent="0.3">
      <c r="A484"/>
      <c r="B484"/>
    </row>
    <row r="485" spans="1:2" hidden="1" x14ac:dyDescent="0.3">
      <c r="A485"/>
      <c r="B485"/>
    </row>
    <row r="486" spans="1:2" hidden="1" x14ac:dyDescent="0.3">
      <c r="A486"/>
      <c r="B486"/>
    </row>
    <row r="487" spans="1:2" hidden="1" x14ac:dyDescent="0.3">
      <c r="A487"/>
      <c r="B487"/>
    </row>
    <row r="488" spans="1:2" hidden="1" x14ac:dyDescent="0.3">
      <c r="A488"/>
      <c r="B488"/>
    </row>
    <row r="489" spans="1:2" hidden="1" x14ac:dyDescent="0.3">
      <c r="A489"/>
      <c r="B489"/>
    </row>
    <row r="490" spans="1:2" hidden="1" x14ac:dyDescent="0.3">
      <c r="A490"/>
      <c r="B490"/>
    </row>
    <row r="491" spans="1:2" hidden="1" x14ac:dyDescent="0.3">
      <c r="A491"/>
      <c r="B491"/>
    </row>
    <row r="492" spans="1:2" hidden="1" x14ac:dyDescent="0.3">
      <c r="A492"/>
      <c r="B492"/>
    </row>
    <row r="493" spans="1:2" hidden="1" x14ac:dyDescent="0.3">
      <c r="A493"/>
      <c r="B493"/>
    </row>
    <row r="494" spans="1:2" hidden="1" x14ac:dyDescent="0.3">
      <c r="A494"/>
      <c r="B494"/>
    </row>
    <row r="495" spans="1:2" hidden="1" x14ac:dyDescent="0.3">
      <c r="A495"/>
      <c r="B495"/>
    </row>
    <row r="496" spans="1:2" hidden="1" x14ac:dyDescent="0.3">
      <c r="A496"/>
      <c r="B496"/>
    </row>
    <row r="497" spans="1:2" hidden="1" x14ac:dyDescent="0.3">
      <c r="A497"/>
      <c r="B497"/>
    </row>
    <row r="498" spans="1:2" hidden="1" x14ac:dyDescent="0.3">
      <c r="A498"/>
      <c r="B498"/>
    </row>
    <row r="499" spans="1:2" hidden="1" x14ac:dyDescent="0.3">
      <c r="A499"/>
      <c r="B499"/>
    </row>
    <row r="500" spans="1:2" hidden="1" x14ac:dyDescent="0.3">
      <c r="A500"/>
      <c r="B500"/>
    </row>
    <row r="501" spans="1:2" hidden="1" x14ac:dyDescent="0.3">
      <c r="A501"/>
      <c r="B501"/>
    </row>
    <row r="502" spans="1:2" hidden="1" x14ac:dyDescent="0.3">
      <c r="A502"/>
      <c r="B502"/>
    </row>
    <row r="503" spans="1:2" hidden="1" x14ac:dyDescent="0.3">
      <c r="A503"/>
      <c r="B503"/>
    </row>
    <row r="504" spans="1:2" hidden="1" x14ac:dyDescent="0.3">
      <c r="A504"/>
      <c r="B504"/>
    </row>
    <row r="505" spans="1:2" hidden="1" x14ac:dyDescent="0.3">
      <c r="A505"/>
      <c r="B505"/>
    </row>
    <row r="506" spans="1:2" hidden="1" x14ac:dyDescent="0.3">
      <c r="A506"/>
      <c r="B506"/>
    </row>
    <row r="507" spans="1:2" hidden="1" x14ac:dyDescent="0.3">
      <c r="A507"/>
      <c r="B507"/>
    </row>
    <row r="508" spans="1:2" hidden="1" x14ac:dyDescent="0.3">
      <c r="A508"/>
      <c r="B508"/>
    </row>
    <row r="509" spans="1:2" hidden="1" x14ac:dyDescent="0.3">
      <c r="A509"/>
      <c r="B509"/>
    </row>
    <row r="510" spans="1:2" hidden="1" x14ac:dyDescent="0.3">
      <c r="A510"/>
      <c r="B510"/>
    </row>
    <row r="511" spans="1:2" hidden="1" x14ac:dyDescent="0.3">
      <c r="A511"/>
      <c r="B511"/>
    </row>
    <row r="512" spans="1:2" hidden="1" x14ac:dyDescent="0.3">
      <c r="A512"/>
      <c r="B512"/>
    </row>
    <row r="513" spans="1:2" hidden="1" x14ac:dyDescent="0.3">
      <c r="A513"/>
      <c r="B513"/>
    </row>
    <row r="514" spans="1:2" hidden="1" x14ac:dyDescent="0.3">
      <c r="A514"/>
      <c r="B514"/>
    </row>
    <row r="515" spans="1:2" hidden="1" x14ac:dyDescent="0.3">
      <c r="A515"/>
      <c r="B515"/>
    </row>
    <row r="516" spans="1:2" hidden="1" x14ac:dyDescent="0.3">
      <c r="A516"/>
      <c r="B516"/>
    </row>
    <row r="517" spans="1:2" hidden="1" x14ac:dyDescent="0.3">
      <c r="A517"/>
      <c r="B517"/>
    </row>
    <row r="518" spans="1:2" hidden="1" x14ac:dyDescent="0.3">
      <c r="A518"/>
      <c r="B518"/>
    </row>
    <row r="519" spans="1:2" hidden="1" x14ac:dyDescent="0.3">
      <c r="A519"/>
      <c r="B519"/>
    </row>
    <row r="520" spans="1:2" hidden="1" x14ac:dyDescent="0.3">
      <c r="A520"/>
      <c r="B520"/>
    </row>
    <row r="521" spans="1:2" hidden="1" x14ac:dyDescent="0.3">
      <c r="A521"/>
      <c r="B521"/>
    </row>
    <row r="522" spans="1:2" hidden="1" x14ac:dyDescent="0.3">
      <c r="A522"/>
      <c r="B522"/>
    </row>
    <row r="523" spans="1:2" hidden="1" x14ac:dyDescent="0.3">
      <c r="A523"/>
      <c r="B523"/>
    </row>
    <row r="524" spans="1:2" hidden="1" x14ac:dyDescent="0.3">
      <c r="A524"/>
      <c r="B524"/>
    </row>
    <row r="525" spans="1:2" hidden="1" x14ac:dyDescent="0.3">
      <c r="A525"/>
      <c r="B525"/>
    </row>
    <row r="526" spans="1:2" hidden="1" x14ac:dyDescent="0.3">
      <c r="A526"/>
      <c r="B526"/>
    </row>
    <row r="527" spans="1:2" hidden="1" x14ac:dyDescent="0.3">
      <c r="A527"/>
      <c r="B527"/>
    </row>
    <row r="528" spans="1:2" hidden="1" x14ac:dyDescent="0.3">
      <c r="A528"/>
      <c r="B528"/>
    </row>
    <row r="529" spans="1:2" hidden="1" x14ac:dyDescent="0.3">
      <c r="A529"/>
      <c r="B529"/>
    </row>
    <row r="530" spans="1:2" hidden="1" x14ac:dyDescent="0.3">
      <c r="A530"/>
      <c r="B530"/>
    </row>
    <row r="531" spans="1:2" hidden="1" x14ac:dyDescent="0.3">
      <c r="A531"/>
      <c r="B531"/>
    </row>
    <row r="532" spans="1:2" hidden="1" x14ac:dyDescent="0.3">
      <c r="A532"/>
      <c r="B532"/>
    </row>
    <row r="533" spans="1:2" hidden="1" x14ac:dyDescent="0.3">
      <c r="A533"/>
      <c r="B533"/>
    </row>
    <row r="534" spans="1:2" hidden="1" x14ac:dyDescent="0.3">
      <c r="A534"/>
      <c r="B534"/>
    </row>
    <row r="535" spans="1:2" hidden="1" x14ac:dyDescent="0.3">
      <c r="A535"/>
      <c r="B535"/>
    </row>
    <row r="536" spans="1:2" hidden="1" x14ac:dyDescent="0.3">
      <c r="A536"/>
      <c r="B536"/>
    </row>
    <row r="537" spans="1:2" hidden="1" x14ac:dyDescent="0.3">
      <c r="A537"/>
      <c r="B537"/>
    </row>
    <row r="538" spans="1:2" hidden="1" x14ac:dyDescent="0.3">
      <c r="A538"/>
      <c r="B538"/>
    </row>
    <row r="539" spans="1:2" hidden="1" x14ac:dyDescent="0.3">
      <c r="A539"/>
      <c r="B539"/>
    </row>
    <row r="540" spans="1:2" hidden="1" x14ac:dyDescent="0.3">
      <c r="A540"/>
      <c r="B540"/>
    </row>
    <row r="541" spans="1:2" hidden="1" x14ac:dyDescent="0.3">
      <c r="A541"/>
      <c r="B541"/>
    </row>
    <row r="542" spans="1:2" hidden="1" x14ac:dyDescent="0.3">
      <c r="A542"/>
      <c r="B542"/>
    </row>
    <row r="543" spans="1:2" hidden="1" x14ac:dyDescent="0.3">
      <c r="A543"/>
      <c r="B543"/>
    </row>
    <row r="544" spans="1:2" hidden="1" x14ac:dyDescent="0.3">
      <c r="A544"/>
      <c r="B544"/>
    </row>
    <row r="545" spans="1:2" hidden="1" x14ac:dyDescent="0.3">
      <c r="A545"/>
      <c r="B545"/>
    </row>
    <row r="546" spans="1:2" hidden="1" x14ac:dyDescent="0.3">
      <c r="A546"/>
      <c r="B546"/>
    </row>
    <row r="547" spans="1:2" hidden="1" x14ac:dyDescent="0.3">
      <c r="A547"/>
      <c r="B547"/>
    </row>
    <row r="548" spans="1:2" hidden="1" x14ac:dyDescent="0.3">
      <c r="A548"/>
      <c r="B548"/>
    </row>
    <row r="549" spans="1:2" hidden="1" x14ac:dyDescent="0.3">
      <c r="A549"/>
      <c r="B549"/>
    </row>
    <row r="550" spans="1:2" hidden="1" x14ac:dyDescent="0.3">
      <c r="A550"/>
      <c r="B550"/>
    </row>
    <row r="551" spans="1:2" hidden="1" x14ac:dyDescent="0.3">
      <c r="A551"/>
      <c r="B551"/>
    </row>
    <row r="552" spans="1:2" hidden="1" x14ac:dyDescent="0.3">
      <c r="A552"/>
      <c r="B552"/>
    </row>
    <row r="553" spans="1:2" hidden="1" x14ac:dyDescent="0.3">
      <c r="A553"/>
      <c r="B553"/>
    </row>
    <row r="554" spans="1:2" hidden="1" x14ac:dyDescent="0.3">
      <c r="A554"/>
      <c r="B554"/>
    </row>
    <row r="555" spans="1:2" hidden="1" x14ac:dyDescent="0.3">
      <c r="A555"/>
      <c r="B555"/>
    </row>
    <row r="556" spans="1:2" hidden="1" x14ac:dyDescent="0.3">
      <c r="A556"/>
      <c r="B556"/>
    </row>
    <row r="557" spans="1:2" hidden="1" x14ac:dyDescent="0.3">
      <c r="A557"/>
      <c r="B557"/>
    </row>
    <row r="558" spans="1:2" hidden="1" x14ac:dyDescent="0.3">
      <c r="A558"/>
      <c r="B558"/>
    </row>
    <row r="559" spans="1:2" hidden="1" x14ac:dyDescent="0.3">
      <c r="A559"/>
      <c r="B559"/>
    </row>
    <row r="560" spans="1:2" hidden="1" x14ac:dyDescent="0.3">
      <c r="A560"/>
      <c r="B560"/>
    </row>
    <row r="561" spans="1:2" hidden="1" x14ac:dyDescent="0.3">
      <c r="A561"/>
      <c r="B561"/>
    </row>
    <row r="562" spans="1:2" hidden="1" x14ac:dyDescent="0.3">
      <c r="A562"/>
      <c r="B562"/>
    </row>
    <row r="563" spans="1:2" hidden="1" x14ac:dyDescent="0.3">
      <c r="A563"/>
      <c r="B563"/>
    </row>
    <row r="564" spans="1:2" hidden="1" x14ac:dyDescent="0.3">
      <c r="A564"/>
      <c r="B564"/>
    </row>
    <row r="565" spans="1:2" hidden="1" x14ac:dyDescent="0.3">
      <c r="A565"/>
      <c r="B565"/>
    </row>
    <row r="566" spans="1:2" hidden="1" x14ac:dyDescent="0.3">
      <c r="A566"/>
      <c r="B566"/>
    </row>
    <row r="567" spans="1:2" hidden="1" x14ac:dyDescent="0.3">
      <c r="A567"/>
      <c r="B567"/>
    </row>
    <row r="568" spans="1:2" hidden="1" x14ac:dyDescent="0.3">
      <c r="A568"/>
      <c r="B568"/>
    </row>
    <row r="569" spans="1:2" hidden="1" x14ac:dyDescent="0.3">
      <c r="A569"/>
      <c r="B569"/>
    </row>
    <row r="570" spans="1:2" hidden="1" x14ac:dyDescent="0.3">
      <c r="A570"/>
      <c r="B570"/>
    </row>
    <row r="571" spans="1:2" hidden="1" x14ac:dyDescent="0.3">
      <c r="A571"/>
      <c r="B571"/>
    </row>
    <row r="572" spans="1:2" hidden="1" x14ac:dyDescent="0.3">
      <c r="A572"/>
      <c r="B572"/>
    </row>
    <row r="573" spans="1:2" hidden="1" x14ac:dyDescent="0.3">
      <c r="A573"/>
      <c r="B573"/>
    </row>
    <row r="574" spans="1:2" hidden="1" x14ac:dyDescent="0.3">
      <c r="A574"/>
      <c r="B574"/>
    </row>
    <row r="575" spans="1:2" hidden="1" x14ac:dyDescent="0.3">
      <c r="A575"/>
      <c r="B575"/>
    </row>
    <row r="576" spans="1:2" hidden="1" x14ac:dyDescent="0.3">
      <c r="A576"/>
      <c r="B576"/>
    </row>
    <row r="577" spans="1:2" hidden="1" x14ac:dyDescent="0.3">
      <c r="A577"/>
      <c r="B577"/>
    </row>
    <row r="578" spans="1:2" hidden="1" x14ac:dyDescent="0.3">
      <c r="A578"/>
      <c r="B578"/>
    </row>
    <row r="579" spans="1:2" hidden="1" x14ac:dyDescent="0.3">
      <c r="A579"/>
      <c r="B579"/>
    </row>
    <row r="580" spans="1:2" hidden="1" x14ac:dyDescent="0.3">
      <c r="A580"/>
      <c r="B580"/>
    </row>
    <row r="581" spans="1:2" hidden="1" x14ac:dyDescent="0.3">
      <c r="A581"/>
      <c r="B581"/>
    </row>
    <row r="582" spans="1:2" hidden="1" x14ac:dyDescent="0.3">
      <c r="A582"/>
      <c r="B582"/>
    </row>
    <row r="583" spans="1:2" hidden="1" x14ac:dyDescent="0.3">
      <c r="A583"/>
      <c r="B583"/>
    </row>
    <row r="584" spans="1:2" hidden="1" x14ac:dyDescent="0.3">
      <c r="A584"/>
      <c r="B584"/>
    </row>
    <row r="585" spans="1:2" hidden="1" x14ac:dyDescent="0.3">
      <c r="A585"/>
      <c r="B585"/>
    </row>
    <row r="586" spans="1:2" hidden="1" x14ac:dyDescent="0.3">
      <c r="A586"/>
      <c r="B586"/>
    </row>
    <row r="587" spans="1:2" hidden="1" x14ac:dyDescent="0.3">
      <c r="A587"/>
      <c r="B587"/>
    </row>
    <row r="588" spans="1:2" hidden="1" x14ac:dyDescent="0.3">
      <c r="A588"/>
      <c r="B588"/>
    </row>
    <row r="589" spans="1:2" hidden="1" x14ac:dyDescent="0.3">
      <c r="A589"/>
      <c r="B589"/>
    </row>
    <row r="590" spans="1:2" hidden="1" x14ac:dyDescent="0.3">
      <c r="A590"/>
      <c r="B590"/>
    </row>
    <row r="591" spans="1:2" hidden="1" x14ac:dyDescent="0.3">
      <c r="A591"/>
      <c r="B591"/>
    </row>
    <row r="592" spans="1:2" hidden="1" x14ac:dyDescent="0.3">
      <c r="A592"/>
      <c r="B592"/>
    </row>
    <row r="593" spans="1:2" hidden="1" x14ac:dyDescent="0.3">
      <c r="A593"/>
      <c r="B593"/>
    </row>
    <row r="594" spans="1:2" hidden="1" x14ac:dyDescent="0.3">
      <c r="A594"/>
      <c r="B594"/>
    </row>
    <row r="595" spans="1:2" hidden="1" x14ac:dyDescent="0.3">
      <c r="A595"/>
      <c r="B595"/>
    </row>
    <row r="596" spans="1:2" hidden="1" x14ac:dyDescent="0.3">
      <c r="A596"/>
      <c r="B596"/>
    </row>
    <row r="597" spans="1:2" hidden="1" x14ac:dyDescent="0.3">
      <c r="A597"/>
      <c r="B597"/>
    </row>
    <row r="598" spans="1:2" hidden="1" x14ac:dyDescent="0.3">
      <c r="A598"/>
      <c r="B598"/>
    </row>
    <row r="599" spans="1:2" hidden="1" x14ac:dyDescent="0.3">
      <c r="A599"/>
      <c r="B599"/>
    </row>
    <row r="600" spans="1:2" hidden="1" x14ac:dyDescent="0.3">
      <c r="A600"/>
      <c r="B600"/>
    </row>
    <row r="601" spans="1:2" hidden="1" x14ac:dyDescent="0.3">
      <c r="A601"/>
      <c r="B601"/>
    </row>
    <row r="602" spans="1:2" hidden="1" x14ac:dyDescent="0.3">
      <c r="A602"/>
      <c r="B602"/>
    </row>
    <row r="603" spans="1:2" hidden="1" x14ac:dyDescent="0.3">
      <c r="A603"/>
      <c r="B603"/>
    </row>
    <row r="604" spans="1:2" hidden="1" x14ac:dyDescent="0.3">
      <c r="A604"/>
      <c r="B604"/>
    </row>
    <row r="605" spans="1:2" hidden="1" x14ac:dyDescent="0.3">
      <c r="A605"/>
      <c r="B605"/>
    </row>
    <row r="606" spans="1:2" hidden="1" x14ac:dyDescent="0.3">
      <c r="A606"/>
      <c r="B606"/>
    </row>
    <row r="607" spans="1:2" hidden="1" x14ac:dyDescent="0.3">
      <c r="A607"/>
      <c r="B607"/>
    </row>
    <row r="608" spans="1:2" hidden="1" x14ac:dyDescent="0.3">
      <c r="A608"/>
      <c r="B608"/>
    </row>
    <row r="609" spans="1:2" hidden="1" x14ac:dyDescent="0.3">
      <c r="A609"/>
      <c r="B609"/>
    </row>
    <row r="610" spans="1:2" hidden="1" x14ac:dyDescent="0.3">
      <c r="A610"/>
      <c r="B610"/>
    </row>
    <row r="611" spans="1:2" hidden="1" x14ac:dyDescent="0.3">
      <c r="A611"/>
      <c r="B611"/>
    </row>
    <row r="612" spans="1:2" hidden="1" x14ac:dyDescent="0.3">
      <c r="A612"/>
      <c r="B612"/>
    </row>
    <row r="613" spans="1:2" hidden="1" x14ac:dyDescent="0.3">
      <c r="A613"/>
      <c r="B613"/>
    </row>
    <row r="614" spans="1:2" hidden="1" x14ac:dyDescent="0.3">
      <c r="A614"/>
      <c r="B614"/>
    </row>
    <row r="615" spans="1:2" hidden="1" x14ac:dyDescent="0.3">
      <c r="A615"/>
      <c r="B615"/>
    </row>
    <row r="616" spans="1:2" hidden="1" x14ac:dyDescent="0.3">
      <c r="A616"/>
      <c r="B616"/>
    </row>
    <row r="617" spans="1:2" hidden="1" x14ac:dyDescent="0.3">
      <c r="A617"/>
      <c r="B617"/>
    </row>
    <row r="618" spans="1:2" hidden="1" x14ac:dyDescent="0.3">
      <c r="A618"/>
      <c r="B618"/>
    </row>
    <row r="619" spans="1:2" hidden="1" x14ac:dyDescent="0.3">
      <c r="A619"/>
      <c r="B619"/>
    </row>
    <row r="620" spans="1:2" hidden="1" x14ac:dyDescent="0.3">
      <c r="A620"/>
      <c r="B620"/>
    </row>
    <row r="621" spans="1:2" hidden="1" x14ac:dyDescent="0.3">
      <c r="A621"/>
      <c r="B621"/>
    </row>
    <row r="622" spans="1:2" hidden="1" x14ac:dyDescent="0.3">
      <c r="A622"/>
      <c r="B622"/>
    </row>
    <row r="623" spans="1:2" hidden="1" x14ac:dyDescent="0.3">
      <c r="A623"/>
      <c r="B623"/>
    </row>
    <row r="624" spans="1:2" hidden="1" x14ac:dyDescent="0.3">
      <c r="A624"/>
      <c r="B624"/>
    </row>
    <row r="625" spans="1:2" hidden="1" x14ac:dyDescent="0.3">
      <c r="A625"/>
      <c r="B625"/>
    </row>
    <row r="626" spans="1:2" hidden="1" x14ac:dyDescent="0.3">
      <c r="A626"/>
      <c r="B626"/>
    </row>
    <row r="627" spans="1:2" hidden="1" x14ac:dyDescent="0.3">
      <c r="A627"/>
      <c r="B627"/>
    </row>
    <row r="628" spans="1:2" hidden="1" x14ac:dyDescent="0.3">
      <c r="A628"/>
      <c r="B628"/>
    </row>
    <row r="629" spans="1:2" hidden="1" x14ac:dyDescent="0.3">
      <c r="A629"/>
      <c r="B629"/>
    </row>
    <row r="630" spans="1:2" hidden="1" x14ac:dyDescent="0.3">
      <c r="A630"/>
      <c r="B630"/>
    </row>
    <row r="631" spans="1:2" hidden="1" x14ac:dyDescent="0.3">
      <c r="A631"/>
      <c r="B631"/>
    </row>
    <row r="632" spans="1:2" hidden="1" x14ac:dyDescent="0.3">
      <c r="A632"/>
      <c r="B632"/>
    </row>
    <row r="633" spans="1:2" hidden="1" x14ac:dyDescent="0.3">
      <c r="A633"/>
      <c r="B633"/>
    </row>
    <row r="634" spans="1:2" hidden="1" x14ac:dyDescent="0.3">
      <c r="A634"/>
      <c r="B634"/>
    </row>
    <row r="635" spans="1:2" hidden="1" x14ac:dyDescent="0.3">
      <c r="A635"/>
      <c r="B635"/>
    </row>
    <row r="636" spans="1:2" hidden="1" x14ac:dyDescent="0.3">
      <c r="A636"/>
      <c r="B636"/>
    </row>
    <row r="637" spans="1:2" hidden="1" x14ac:dyDescent="0.3">
      <c r="A637"/>
      <c r="B637"/>
    </row>
    <row r="638" spans="1:2" hidden="1" x14ac:dyDescent="0.3">
      <c r="A638"/>
      <c r="B638"/>
    </row>
    <row r="639" spans="1:2" hidden="1" x14ac:dyDescent="0.3">
      <c r="A639"/>
      <c r="B639"/>
    </row>
    <row r="640" spans="1:2" hidden="1" x14ac:dyDescent="0.3">
      <c r="A640"/>
      <c r="B640"/>
    </row>
    <row r="641" spans="1:2" hidden="1" x14ac:dyDescent="0.3">
      <c r="A641"/>
      <c r="B641"/>
    </row>
    <row r="642" spans="1:2" hidden="1" x14ac:dyDescent="0.3">
      <c r="A642"/>
      <c r="B642"/>
    </row>
    <row r="643" spans="1:2" hidden="1" x14ac:dyDescent="0.3">
      <c r="A643"/>
      <c r="B643"/>
    </row>
    <row r="644" spans="1:2" hidden="1" x14ac:dyDescent="0.3">
      <c r="A644"/>
      <c r="B644"/>
    </row>
    <row r="645" spans="1:2" hidden="1" x14ac:dyDescent="0.3">
      <c r="A645"/>
      <c r="B645"/>
    </row>
    <row r="646" spans="1:2" hidden="1" x14ac:dyDescent="0.3">
      <c r="A646"/>
      <c r="B646"/>
    </row>
    <row r="647" spans="1:2" hidden="1" x14ac:dyDescent="0.3">
      <c r="A647"/>
      <c r="B647"/>
    </row>
    <row r="648" spans="1:2" hidden="1" x14ac:dyDescent="0.3">
      <c r="A648"/>
      <c r="B648"/>
    </row>
    <row r="649" spans="1:2" hidden="1" x14ac:dyDescent="0.3">
      <c r="A649"/>
      <c r="B649"/>
    </row>
    <row r="650" spans="1:2" hidden="1" x14ac:dyDescent="0.3">
      <c r="A650"/>
      <c r="B650"/>
    </row>
    <row r="651" spans="1:2" hidden="1" x14ac:dyDescent="0.3">
      <c r="A651"/>
      <c r="B651"/>
    </row>
    <row r="652" spans="1:2" hidden="1" x14ac:dyDescent="0.3">
      <c r="A652"/>
      <c r="B652"/>
    </row>
    <row r="653" spans="1:2" hidden="1" x14ac:dyDescent="0.3">
      <c r="A653"/>
      <c r="B653"/>
    </row>
    <row r="654" spans="1:2" hidden="1" x14ac:dyDescent="0.3">
      <c r="A654"/>
      <c r="B654"/>
    </row>
    <row r="655" spans="1:2" hidden="1" x14ac:dyDescent="0.3">
      <c r="A655"/>
      <c r="B655"/>
    </row>
    <row r="656" spans="1:2" hidden="1" x14ac:dyDescent="0.3">
      <c r="A656"/>
      <c r="B656"/>
    </row>
    <row r="657" spans="1:2" hidden="1" x14ac:dyDescent="0.3">
      <c r="A657"/>
      <c r="B657"/>
    </row>
    <row r="658" spans="1:2" hidden="1" x14ac:dyDescent="0.3">
      <c r="A658"/>
      <c r="B658"/>
    </row>
    <row r="659" spans="1:2" hidden="1" x14ac:dyDescent="0.3">
      <c r="A659"/>
      <c r="B659"/>
    </row>
    <row r="660" spans="1:2" hidden="1" x14ac:dyDescent="0.3">
      <c r="A660"/>
      <c r="B660"/>
    </row>
    <row r="661" spans="1:2" hidden="1" x14ac:dyDescent="0.3">
      <c r="A661"/>
      <c r="B661"/>
    </row>
    <row r="662" spans="1:2" hidden="1" x14ac:dyDescent="0.3">
      <c r="A662"/>
      <c r="B662"/>
    </row>
    <row r="663" spans="1:2" hidden="1" x14ac:dyDescent="0.3">
      <c r="A663"/>
      <c r="B663"/>
    </row>
    <row r="664" spans="1:2" hidden="1" x14ac:dyDescent="0.3">
      <c r="A664"/>
      <c r="B664"/>
    </row>
    <row r="665" spans="1:2" hidden="1" x14ac:dyDescent="0.3">
      <c r="A665"/>
      <c r="B665"/>
    </row>
    <row r="666" spans="1:2" hidden="1" x14ac:dyDescent="0.3">
      <c r="A666"/>
      <c r="B666"/>
    </row>
    <row r="667" spans="1:2" hidden="1" x14ac:dyDescent="0.3">
      <c r="A667"/>
      <c r="B667"/>
    </row>
    <row r="668" spans="1:2" hidden="1" x14ac:dyDescent="0.3">
      <c r="A668"/>
      <c r="B668"/>
    </row>
    <row r="669" spans="1:2" hidden="1" x14ac:dyDescent="0.3">
      <c r="A669"/>
      <c r="B669"/>
    </row>
    <row r="670" spans="1:2" hidden="1" x14ac:dyDescent="0.3">
      <c r="A670"/>
      <c r="B670"/>
    </row>
    <row r="671" spans="1:2" hidden="1" x14ac:dyDescent="0.3">
      <c r="A671"/>
      <c r="B671"/>
    </row>
    <row r="672" spans="1:2" hidden="1" x14ac:dyDescent="0.3">
      <c r="A672"/>
      <c r="B672"/>
    </row>
    <row r="673" spans="1:2" hidden="1" x14ac:dyDescent="0.3">
      <c r="A673"/>
      <c r="B673"/>
    </row>
    <row r="674" spans="1:2" hidden="1" x14ac:dyDescent="0.3">
      <c r="A674"/>
      <c r="B674"/>
    </row>
    <row r="675" spans="1:2" hidden="1" x14ac:dyDescent="0.3">
      <c r="A675"/>
      <c r="B675"/>
    </row>
    <row r="676" spans="1:2" hidden="1" x14ac:dyDescent="0.3">
      <c r="A676"/>
      <c r="B676"/>
    </row>
    <row r="677" spans="1:2" hidden="1" x14ac:dyDescent="0.3">
      <c r="A677"/>
      <c r="B677"/>
    </row>
    <row r="678" spans="1:2" hidden="1" x14ac:dyDescent="0.3">
      <c r="A678"/>
      <c r="B678"/>
    </row>
    <row r="679" spans="1:2" hidden="1" x14ac:dyDescent="0.3">
      <c r="A679"/>
      <c r="B679"/>
    </row>
    <row r="680" spans="1:2" hidden="1" x14ac:dyDescent="0.3">
      <c r="A680"/>
      <c r="B680"/>
    </row>
    <row r="681" spans="1:2" hidden="1" x14ac:dyDescent="0.3">
      <c r="A681"/>
      <c r="B681"/>
    </row>
    <row r="682" spans="1:2" hidden="1" x14ac:dyDescent="0.3">
      <c r="A682"/>
      <c r="B682"/>
    </row>
    <row r="683" spans="1:2" hidden="1" x14ac:dyDescent="0.3">
      <c r="A683"/>
      <c r="B683"/>
    </row>
    <row r="684" spans="1:2" hidden="1" x14ac:dyDescent="0.3">
      <c r="A684"/>
      <c r="B684"/>
    </row>
    <row r="685" spans="1:2" hidden="1" x14ac:dyDescent="0.3">
      <c r="A685"/>
      <c r="B685"/>
    </row>
    <row r="686" spans="1:2" hidden="1" x14ac:dyDescent="0.3">
      <c r="A686"/>
      <c r="B686"/>
    </row>
    <row r="687" spans="1:2" hidden="1" x14ac:dyDescent="0.3">
      <c r="A687"/>
      <c r="B687"/>
    </row>
    <row r="688" spans="1:2" hidden="1" x14ac:dyDescent="0.3">
      <c r="A688"/>
      <c r="B688"/>
    </row>
    <row r="689" spans="1:2" hidden="1" x14ac:dyDescent="0.3">
      <c r="A689"/>
      <c r="B689"/>
    </row>
    <row r="690" spans="1:2" hidden="1" x14ac:dyDescent="0.3">
      <c r="A690"/>
      <c r="B690"/>
    </row>
    <row r="691" spans="1:2" hidden="1" x14ac:dyDescent="0.3">
      <c r="A691"/>
      <c r="B691"/>
    </row>
    <row r="692" spans="1:2" hidden="1" x14ac:dyDescent="0.3">
      <c r="A692"/>
      <c r="B692"/>
    </row>
    <row r="693" spans="1:2" hidden="1" x14ac:dyDescent="0.3">
      <c r="A693"/>
      <c r="B693"/>
    </row>
    <row r="694" spans="1:2" hidden="1" x14ac:dyDescent="0.3">
      <c r="A694"/>
      <c r="B694"/>
    </row>
    <row r="695" spans="1:2" hidden="1" x14ac:dyDescent="0.3">
      <c r="A695"/>
      <c r="B695"/>
    </row>
    <row r="696" spans="1:2" x14ac:dyDescent="0.3"/>
  </sheetData>
  <conditionalFormatting sqref="F19:F20">
    <cfRule type="dataBar" priority="1">
      <dataBar>
        <cfvo type="num" val="0"/>
        <cfvo type="num" val="1"/>
        <color rgb="FFD0DAF0"/>
      </dataBar>
      <extLst>
        <ext xmlns:x14="http://schemas.microsoft.com/office/spreadsheetml/2009/9/main" uri="{B025F937-C7B1-47D3-B67F-A62EFF666E3E}">
          <x14:id>{4373793E-8EB6-4577-AEBB-F12A280FDC0C}</x14:id>
        </ext>
      </extLst>
    </cfRule>
  </conditionalFormatting>
  <dataValidations count="1">
    <dataValidation allowBlank="1" showInputMessage="1" showErrorMessage="1" prompt="Changes cannot be made in this sheet. Please make changes in the appropriate &quot;Evaluation&quot; tab." sqref="F18:F1048576 N1:XFD1048576 H23:M1048576 A3:A1048576 D16:E1048576 D1:F8 B1:C1048576 A1 H1:M8" xr:uid="{36BF213B-03D0-4A95-8EB1-10E728187E1D}"/>
  </dataValidations>
  <hyperlinks>
    <hyperlink ref="A8" r:id="rId1" xr:uid="{F73DD09B-D0E9-4385-8CEE-B15F56B571D1}"/>
  </hyperlinks>
  <pageMargins left="0.7" right="0.7" top="0.75" bottom="0.75" header="0.3" footer="0.3"/>
  <pageSetup orientation="portrait" verticalDpi="300" r:id="rId2"/>
  <extLst>
    <ext xmlns:x14="http://schemas.microsoft.com/office/spreadsheetml/2009/9/main" uri="{78C0D931-6437-407d-A8EE-F0AAD7539E65}">
      <x14:conditionalFormattings>
        <x14:conditionalFormatting xmlns:xm="http://schemas.microsoft.com/office/excel/2006/main">
          <x14:cfRule type="dataBar" id="{4373793E-8EB6-4577-AEBB-F12A280FDC0C}">
            <x14:dataBar minLength="0" maxLength="100" gradient="0" direction="leftToRight" axisPosition="none">
              <x14:cfvo type="num">
                <xm:f>0</xm:f>
              </x14:cfvo>
              <x14:cfvo type="num">
                <xm:f>1</xm:f>
              </x14:cfvo>
              <x14:negativeFillColor rgb="FFFF0000"/>
            </x14:dataBar>
          </x14:cfRule>
          <xm:sqref>F19:F20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AE711-DCEB-46E4-B77C-742263AC90F3}">
  <sheetPr>
    <tabColor rgb="FFE0B233"/>
  </sheetPr>
  <dimension ref="A1:N265"/>
  <sheetViews>
    <sheetView showGridLines="0" showZeros="0" topLeftCell="A47" zoomScale="80" zoomScaleNormal="80" workbookViewId="0">
      <selection activeCell="A2" sqref="A2"/>
    </sheetView>
  </sheetViews>
  <sheetFormatPr defaultColWidth="0" defaultRowHeight="0" customHeight="1" zeroHeight="1" x14ac:dyDescent="0.3"/>
  <cols>
    <col min="1" max="1" width="18.765625" style="55" customWidth="1"/>
    <col min="2" max="2" width="41.3828125" style="55" customWidth="1"/>
    <col min="3" max="4" width="19.61328125" style="55" customWidth="1"/>
    <col min="5" max="5" width="25.07421875" style="55" customWidth="1"/>
    <col min="6" max="9" width="19.61328125" style="55" customWidth="1"/>
    <col min="10" max="10" width="18.69140625" style="55" bestFit="1" customWidth="1"/>
    <col min="11" max="11" width="15.69140625" style="55" bestFit="1" customWidth="1"/>
    <col min="12" max="12" width="8.4609375" style="55" customWidth="1"/>
    <col min="13" max="13" width="0" style="55" hidden="1" customWidth="1"/>
    <col min="14" max="16384" width="8.4609375" style="55" hidden="1"/>
  </cols>
  <sheetData>
    <row r="1" spans="1:10" ht="23.25" hidden="1" customHeight="1" x14ac:dyDescent="0.3">
      <c r="A1" s="55" t="s">
        <v>1452</v>
      </c>
    </row>
    <row r="2" spans="1:10" s="178" customFormat="1" ht="36" customHeight="1" x14ac:dyDescent="0.3">
      <c r="A2" s="176" t="s">
        <v>1480</v>
      </c>
      <c r="B2" s="176"/>
      <c r="C2" s="176"/>
      <c r="D2" s="176"/>
      <c r="E2" s="176"/>
      <c r="F2" s="176"/>
      <c r="G2" s="176"/>
      <c r="H2" s="176"/>
      <c r="I2" s="177" t="str">
        <f>'Auto Responses'!$A$36</f>
        <v>Version 4.1.5</v>
      </c>
      <c r="J2" s="177"/>
    </row>
    <row r="3" spans="1:10" ht="21" customHeight="1" x14ac:dyDescent="0.3">
      <c r="A3" s="98"/>
      <c r="B3" s="98"/>
      <c r="C3" s="98"/>
      <c r="D3" s="98"/>
      <c r="E3" s="98"/>
      <c r="F3" s="98"/>
      <c r="G3" s="98"/>
      <c r="H3" s="98"/>
      <c r="I3" s="98"/>
      <c r="J3" s="98"/>
    </row>
    <row r="4" spans="1:10" ht="36" customHeight="1" x14ac:dyDescent="0.3">
      <c r="A4" s="99" t="s">
        <v>866</v>
      </c>
      <c r="B4" s="100"/>
      <c r="C4" s="100"/>
      <c r="D4" s="100"/>
      <c r="E4" s="100"/>
      <c r="F4" s="100"/>
      <c r="G4" s="100"/>
      <c r="H4" s="100"/>
      <c r="I4" s="100"/>
      <c r="J4" s="100"/>
    </row>
    <row r="5" spans="1:10" s="271" customFormat="1" ht="19.5" customHeight="1" x14ac:dyDescent="0.3">
      <c r="A5" s="251" t="str">
        <f>HLOOKUP($A$4,'Auto Responses'!$F$2:$F$7,2,0)&amp;""</f>
        <v>1. Upon initial review, you can check the "Non-Negotiable" box by any question to compile a report of questions that may prohibit a full review.</v>
      </c>
      <c r="B5" s="251"/>
      <c r="C5" s="251"/>
      <c r="D5" s="251"/>
      <c r="E5" s="251"/>
      <c r="F5" s="251"/>
      <c r="G5" s="251"/>
      <c r="H5" s="251"/>
      <c r="I5" s="251"/>
      <c r="J5" s="251"/>
    </row>
    <row r="6" spans="1:10" s="271" customFormat="1" ht="19.5" customHeight="1" x14ac:dyDescent="0.3">
      <c r="A6" s="251" t="str">
        <f>HLOOKUP($A$4,'Auto Responses'!$F$2:$F$7,3,0)&amp;""</f>
        <v>2. When evaluating an answer, a default importance level has been set. You can use the "Importance Override" dropdown to override the default and adjust the value of the question.</v>
      </c>
      <c r="B6" s="251"/>
      <c r="C6" s="251"/>
      <c r="D6" s="251"/>
      <c r="E6" s="251"/>
      <c r="F6" s="251"/>
      <c r="G6" s="251"/>
      <c r="H6" s="251"/>
      <c r="I6" s="251"/>
      <c r="J6" s="251"/>
    </row>
    <row r="7" spans="1:10" s="271" customFormat="1" ht="19.5" customHeight="1" x14ac:dyDescent="0.3">
      <c r="A7" s="251" t="str">
        <f>HLOOKUP($A$4,'Auto Responses'!$F$2:$F$7,4,0)&amp;""</f>
        <v>3. For questions that are qualitative or for which you disagree with the preferred response, make a selection in the "Compliant Override" dropdown to adjust the question's impact on the score.</v>
      </c>
      <c r="B7" s="251"/>
      <c r="C7" s="251"/>
      <c r="D7" s="251"/>
      <c r="E7" s="251"/>
      <c r="F7" s="251"/>
      <c r="G7" s="251"/>
      <c r="H7" s="251"/>
      <c r="I7" s="251"/>
      <c r="J7" s="251"/>
    </row>
    <row r="8" spans="1:10" s="271" customFormat="1" ht="19.5" customHeight="1" x14ac:dyDescent="0.3">
      <c r="A8" s="251" t="str">
        <f>HLOOKUP($A$4,'Auto Responses'!$F$2:$F$7,5,0)&amp;""</f>
        <v xml:space="preserve">4. Each worksheet shows a report for that section. See the "Analyst Report" sheet for a full report of all sections. </v>
      </c>
      <c r="B8" s="251"/>
      <c r="C8" s="251"/>
      <c r="D8" s="251"/>
      <c r="E8" s="251"/>
      <c r="F8" s="251"/>
      <c r="G8" s="251"/>
      <c r="H8" s="251"/>
      <c r="I8" s="251"/>
      <c r="J8" s="251"/>
    </row>
    <row r="9" spans="1:10" s="271" customFormat="1" ht="19.5" customHeight="1" x14ac:dyDescent="0.3">
      <c r="A9" s="251" t="str">
        <f>HLOOKUP($A$4,'Auto Responses'!$F$2:$F$7,6,0)&amp;""</f>
        <v xml:space="preserve">5. If you are evaluating a question that appears in an earlier section, the Importance and Compliant Override cannot be changed but additional notes can be added. </v>
      </c>
      <c r="B9" s="251"/>
      <c r="C9" s="251"/>
      <c r="D9" s="251"/>
      <c r="E9" s="251"/>
      <c r="F9" s="251"/>
      <c r="G9" s="251"/>
      <c r="H9" s="251"/>
      <c r="I9" s="251"/>
      <c r="J9" s="251"/>
    </row>
    <row r="10" spans="1:10" ht="19.5" customHeight="1" thickBot="1" x14ac:dyDescent="0.35">
      <c r="A10" s="252" t="str">
        <f>HLOOKUP($A$4,'Auto Responses'!$F$2:$F$8,7,0)&amp;""</f>
        <v>For full instructions, please visit EDUCAUSE.edu/HECVAT</v>
      </c>
      <c r="B10" s="61"/>
      <c r="C10" s="61"/>
      <c r="D10" s="61"/>
      <c r="E10" s="61"/>
      <c r="F10" s="61"/>
      <c r="G10" s="61"/>
      <c r="H10" s="61"/>
      <c r="I10" s="61"/>
      <c r="J10" s="61"/>
    </row>
    <row r="11" spans="1:10" s="89" customFormat="1" ht="25.5" customHeight="1" x14ac:dyDescent="0.3">
      <c r="A11" s="156" t="str">
        <f>'START HERE'!$B$13</f>
        <v>Solution Provider Name</v>
      </c>
      <c r="B11" s="142"/>
      <c r="C11" s="136" t="str">
        <f>VLOOKUP($A11,'START HERE'!$B$13:$C$21,2,0)&amp;""</f>
        <v>Cursive Technology Inc</v>
      </c>
      <c r="D11" s="137"/>
      <c r="E11" s="138"/>
      <c r="F11" s="90"/>
      <c r="G11" s="90"/>
      <c r="H11" s="95"/>
      <c r="I11" s="90"/>
      <c r="J11" s="90"/>
    </row>
    <row r="12" spans="1:10" s="89" customFormat="1" ht="25.5" customHeight="1" x14ac:dyDescent="0.3">
      <c r="A12" s="157" t="str">
        <f>'START HERE'!$B$16</f>
        <v>Solution Provider Contact Name</v>
      </c>
      <c r="B12" s="143"/>
      <c r="C12" s="135" t="str">
        <f>VLOOKUP($A12,'START HERE'!$B$13:$C$21,2,0)&amp;""</f>
        <v>Joseph Thibault</v>
      </c>
      <c r="D12" s="97"/>
      <c r="E12" s="139"/>
      <c r="F12" s="90"/>
      <c r="G12" s="90"/>
      <c r="H12" s="95"/>
      <c r="I12" s="90"/>
      <c r="J12" s="90"/>
    </row>
    <row r="13" spans="1:10" s="89" customFormat="1" ht="25.5" customHeight="1" x14ac:dyDescent="0.3">
      <c r="A13" s="157" t="str">
        <f>'START HERE'!$B$17</f>
        <v>Solution Provider Contact Title</v>
      </c>
      <c r="B13" s="143"/>
      <c r="C13" s="135" t="str">
        <f>VLOOKUP($A13,'START HERE'!$B$13:$C$21,2,0)&amp;""</f>
        <v>CEO</v>
      </c>
      <c r="D13" s="97"/>
      <c r="E13" s="139"/>
      <c r="F13" s="90"/>
      <c r="G13" s="90"/>
      <c r="H13" s="95"/>
      <c r="I13" s="90"/>
      <c r="J13" s="90"/>
    </row>
    <row r="14" spans="1:10" s="89" customFormat="1" ht="25.5" customHeight="1" x14ac:dyDescent="0.3">
      <c r="A14" s="157" t="str">
        <f>'START HERE'!$B$18</f>
        <v>Solution Provider Contact Email</v>
      </c>
      <c r="B14" s="143"/>
      <c r="C14" s="135" t="str">
        <f>VLOOKUP($A14,'START HERE'!$B$13:$C$21,2,0)&amp;""</f>
        <v>joe@cursivetechnology.com</v>
      </c>
      <c r="D14" s="97"/>
      <c r="E14" s="139"/>
      <c r="F14" s="133"/>
      <c r="G14" s="134"/>
      <c r="H14" s="134"/>
      <c r="I14" s="134"/>
      <c r="J14" s="134"/>
    </row>
    <row r="15" spans="1:10" s="89" customFormat="1" ht="25.5" customHeight="1" x14ac:dyDescent="0.3">
      <c r="A15" s="157" t="str">
        <f>'START HERE'!$B$14</f>
        <v>Solution Name</v>
      </c>
      <c r="B15" s="143"/>
      <c r="C15" s="135" t="str">
        <f>VLOOKUP($A15,'START HERE'!$B$13:$C$21,2,0)&amp;""</f>
        <v>TypeID</v>
      </c>
      <c r="D15" s="97"/>
      <c r="E15" s="139"/>
      <c r="F15" s="133"/>
      <c r="G15" s="134"/>
      <c r="H15" s="134"/>
      <c r="I15" s="134"/>
      <c r="J15" s="134"/>
    </row>
    <row r="16" spans="1:10" s="89" customFormat="1" ht="25.5" customHeight="1" x14ac:dyDescent="0.3">
      <c r="A16" s="157" t="str">
        <f>'START HERE'!$B$15</f>
        <v>Solution Description</v>
      </c>
      <c r="B16" s="143"/>
      <c r="C16" s="135" t="str">
        <f>VLOOKUP($A16,'START HERE'!$B$13:$C$21,2,0)&amp;""</f>
        <v>Continuous authorship verification and writing analytics using typing biometrics. Native Moodle plugin, browser extension for any LMS, WordPress-based authorship report and verification system.</v>
      </c>
      <c r="D16" s="97"/>
      <c r="E16" s="139"/>
      <c r="F16" s="133"/>
      <c r="G16" s="134"/>
      <c r="H16" s="134"/>
      <c r="I16" s="134"/>
      <c r="J16" s="134"/>
    </row>
    <row r="17" spans="1:11" s="89" customFormat="1" ht="25.5" customHeight="1" thickBot="1" x14ac:dyDescent="0.35">
      <c r="A17" s="158" t="s">
        <v>948</v>
      </c>
      <c r="B17" s="144"/>
      <c r="C17" s="338">
        <f>'START HERE'!$C$3</f>
        <v>0</v>
      </c>
      <c r="D17" s="140"/>
      <c r="E17" s="141"/>
      <c r="F17" s="133"/>
      <c r="G17" s="134"/>
      <c r="H17" s="134"/>
      <c r="I17" s="134"/>
      <c r="J17" s="134"/>
    </row>
    <row r="18" spans="1:11" s="89" customFormat="1" ht="24.75" customHeight="1" x14ac:dyDescent="0.3">
      <c r="A18" s="90"/>
      <c r="B18" s="90"/>
      <c r="C18" s="259"/>
      <c r="D18" s="96"/>
      <c r="E18" s="90"/>
      <c r="F18" s="90"/>
      <c r="G18" s="90"/>
      <c r="H18" s="91"/>
      <c r="I18" s="91"/>
      <c r="J18" s="91"/>
    </row>
    <row r="19" spans="1:11" s="87" customFormat="1" ht="24" customHeight="1" thickBot="1" x14ac:dyDescent="0.35">
      <c r="A19" s="367"/>
      <c r="B19" s="367"/>
      <c r="C19" s="367"/>
      <c r="D19" s="88"/>
    </row>
    <row r="20" spans="1:11" ht="30" customHeight="1" thickBot="1" x14ac:dyDescent="0.35">
      <c r="A20" s="272" t="s">
        <v>1510</v>
      </c>
      <c r="B20" s="83" t="s">
        <v>947</v>
      </c>
      <c r="C20" s="110" t="s">
        <v>1511</v>
      </c>
      <c r="D20" s="82" t="s">
        <v>1512</v>
      </c>
      <c r="E20" s="109" t="s">
        <v>946</v>
      </c>
      <c r="F20" s="109" t="s">
        <v>945</v>
      </c>
      <c r="G20" s="125" t="s">
        <v>1862</v>
      </c>
      <c r="H20" s="126"/>
      <c r="I20" s="127"/>
    </row>
    <row r="21" spans="1:11" s="84" customFormat="1" ht="40.5" customHeight="1" x14ac:dyDescent="0.3">
      <c r="B21" s="85" t="str">
        <f>VLOOKUP($K21,'Auto Responses'!$N$4:$O$38,2,0)&amp;""</f>
        <v xml:space="preserve"> General Privacy</v>
      </c>
      <c r="C21" s="358"/>
      <c r="D21" s="111" t="str">
        <f>IF($C21=TRUE,SUMIF('(backend scoring)'!$B$3:$B$333,$K21,'(backend scoring)'!$O$3:$O$333),"")</f>
        <v/>
      </c>
      <c r="E21" s="118" t="str">
        <f>IF($C21=TRUE,SUMIF('(backend scoring)'!$B$3:$B$333,$K21,'(backend scoring)'!$P$3:$P$333),"")</f>
        <v/>
      </c>
      <c r="F21" s="146" t="str">
        <f>IFERROR($E21/$D21,'Auto Responses'!$J$5)</f>
        <v>N/A</v>
      </c>
      <c r="G21" s="222" t="str">
        <f>$G$20&amp;B21</f>
        <v>Jump to General Privacy</v>
      </c>
      <c r="H21" s="120"/>
      <c r="I21" s="122"/>
      <c r="K21" s="357" t="s">
        <v>907</v>
      </c>
    </row>
    <row r="22" spans="1:11" s="84" customFormat="1" ht="40.5" customHeight="1" x14ac:dyDescent="0.3">
      <c r="B22" s="85" t="str">
        <f>VLOOKUP($K22,'Auto Responses'!$N$4:$O$38,2,0)&amp;""</f>
        <v xml:space="preserve"> Privacy-Specific Company Details</v>
      </c>
      <c r="C22" s="117" t="b">
        <v>1</v>
      </c>
      <c r="D22" s="111">
        <f>IF($C22=TRUE,SUMIF('(backend scoring)'!$B$3:$B$333,$K22,'(backend scoring)'!$O$3:$O$333),"")</f>
        <v>30</v>
      </c>
      <c r="E22" s="118">
        <f>IF($C22=TRUE,SUMIF('(backend scoring)'!$B$3:$B$333,$K22,'(backend scoring)'!$P$3:$P$333),"")</f>
        <v>25</v>
      </c>
      <c r="F22" s="145">
        <f>IFERROR($E22/$D22,'Auto Responses'!$J$5)</f>
        <v>0.83333333333333337</v>
      </c>
      <c r="G22" s="222" t="str">
        <f t="shared" ref="G22:G30" si="0">$G$20&amp;B22</f>
        <v>Jump to Privacy-Specific Company Details</v>
      </c>
      <c r="H22" s="119"/>
      <c r="I22" s="123"/>
      <c r="K22" s="357" t="s">
        <v>909</v>
      </c>
    </row>
    <row r="23" spans="1:11" s="84" customFormat="1" ht="40.5" customHeight="1" x14ac:dyDescent="0.3">
      <c r="B23" s="85" t="str">
        <f>VLOOKUP($K23,'Auto Responses'!$N$4:$O$38,2,0)&amp;""</f>
        <v xml:space="preserve"> Privacy-Specific Documentation</v>
      </c>
      <c r="C23" s="117" t="b">
        <v>1</v>
      </c>
      <c r="D23" s="111">
        <f>IF($C23=TRUE,SUMIF('(backend scoring)'!$B$3:$B$333,$K23,'(backend scoring)'!$O$3:$O$333),"")</f>
        <v>10</v>
      </c>
      <c r="E23" s="118">
        <f>IF($C23=TRUE,SUMIF('(backend scoring)'!$B$3:$B$333,$K23,'(backend scoring)'!$P$3:$P$333),"")</f>
        <v>10</v>
      </c>
      <c r="F23" s="145">
        <f>IFERROR($E23/$D23,'Auto Responses'!$J$5)</f>
        <v>1</v>
      </c>
      <c r="G23" s="222" t="str">
        <f t="shared" si="0"/>
        <v>Jump to Privacy-Specific Documentation</v>
      </c>
      <c r="H23" s="119"/>
      <c r="I23" s="123"/>
      <c r="K23" s="357" t="s">
        <v>911</v>
      </c>
    </row>
    <row r="24" spans="1:11" s="84" customFormat="1" ht="40.5" customHeight="1" x14ac:dyDescent="0.3">
      <c r="B24" s="85" t="str">
        <f>VLOOKUP($K24,'Auto Responses'!$N$4:$O$38,2,0)&amp;""</f>
        <v xml:space="preserve"> Privacy of Third Parties</v>
      </c>
      <c r="C24" s="117" t="b">
        <v>1</v>
      </c>
      <c r="D24" s="111">
        <f>IF($C24=TRUE,SUMIF('(backend scoring)'!$B$3:$B$333,$K24,'(backend scoring)'!$O$3:$O$333),"")</f>
        <v>25</v>
      </c>
      <c r="E24" s="118">
        <f>IF($C24=TRUE,SUMIF('(backend scoring)'!$B$3:$B$333,$K24,'(backend scoring)'!$P$3:$P$333),"")</f>
        <v>20</v>
      </c>
      <c r="F24" s="145">
        <f>IFERROR($E24/$D24,'Auto Responses'!$J$5)</f>
        <v>0.8</v>
      </c>
      <c r="G24" s="222" t="str">
        <f t="shared" si="0"/>
        <v>Jump to Privacy of Third Parties</v>
      </c>
      <c r="H24" s="119"/>
      <c r="I24" s="123"/>
      <c r="K24" s="357" t="s">
        <v>912</v>
      </c>
    </row>
    <row r="25" spans="1:11" s="84" customFormat="1" ht="40.5" customHeight="1" x14ac:dyDescent="0.3">
      <c r="B25" s="85" t="str">
        <f>VLOOKUP($K25,'Auto Responses'!$N$4:$O$38,2,0)&amp;""</f>
        <v xml:space="preserve"> Privacy Change Management</v>
      </c>
      <c r="C25" s="117" t="b">
        <v>1</v>
      </c>
      <c r="D25" s="111">
        <f>IF($C25=TRUE,SUMIF('(backend scoring)'!$B$3:$B$333,$K25,'(backend scoring)'!$O$3:$O$333),"")</f>
        <v>15</v>
      </c>
      <c r="E25" s="118">
        <f>IF($C25=TRUE,SUMIF('(backend scoring)'!$B$3:$B$333,$K25,'(backend scoring)'!$P$3:$P$333),"")</f>
        <v>15</v>
      </c>
      <c r="F25" s="145">
        <f>IFERROR($E25/$D25,'Auto Responses'!$J$5)</f>
        <v>1</v>
      </c>
      <c r="G25" s="222" t="str">
        <f t="shared" si="0"/>
        <v>Jump to Privacy Change Management</v>
      </c>
      <c r="H25" s="119"/>
      <c r="I25" s="123"/>
      <c r="K25" s="357" t="s">
        <v>914</v>
      </c>
    </row>
    <row r="26" spans="1:11" s="84" customFormat="1" ht="40.5" customHeight="1" x14ac:dyDescent="0.3">
      <c r="B26" s="85" t="str">
        <f>VLOOKUP($K26,'Auto Responses'!$N$4:$O$38,2,0)&amp;""</f>
        <v xml:space="preserve"> Privacy of Sensitive Data</v>
      </c>
      <c r="C26" s="117" t="b">
        <v>1</v>
      </c>
      <c r="D26" s="111">
        <f>IF($C26=TRUE,SUMIF('(backend scoring)'!$B$3:$B$333,$K26,'(backend scoring)'!$O$3:$O$333),"")</f>
        <v>80</v>
      </c>
      <c r="E26" s="118">
        <f>IF($C26=TRUE,SUMIF('(backend scoring)'!$B$3:$B$333,$K26,'(backend scoring)'!$P$3:$P$333),"")</f>
        <v>55</v>
      </c>
      <c r="F26" s="145">
        <f>IFERROR($E26/$D26,'Auto Responses'!$J$5)</f>
        <v>0.6875</v>
      </c>
      <c r="G26" s="222" t="str">
        <f t="shared" si="0"/>
        <v>Jump to Privacy of Sensitive Data</v>
      </c>
      <c r="H26" s="119"/>
      <c r="I26" s="123"/>
      <c r="K26" s="357" t="s">
        <v>916</v>
      </c>
    </row>
    <row r="27" spans="1:11" s="84" customFormat="1" ht="40.5" customHeight="1" x14ac:dyDescent="0.3">
      <c r="B27" s="85" t="str">
        <f>VLOOKUP($K27,'Auto Responses'!$N$4:$O$38,2,0)&amp;""</f>
        <v xml:space="preserve"> Privacy Policies and Procedures</v>
      </c>
      <c r="C27" s="117" t="b">
        <v>1</v>
      </c>
      <c r="D27" s="111">
        <f>IF($C27=TRUE,SUMIF('(backend scoring)'!$B$3:$B$333,$K27,'(backend scoring)'!$O$3:$O$333),"")</f>
        <v>100</v>
      </c>
      <c r="E27" s="118">
        <f>IF($C27=TRUE,SUMIF('(backend scoring)'!$B$3:$B$333,$K27,'(backend scoring)'!$P$3:$P$333),"")</f>
        <v>90</v>
      </c>
      <c r="F27" s="145">
        <f>IFERROR($E27/$D27,'Auto Responses'!$J$5)</f>
        <v>0.9</v>
      </c>
      <c r="G27" s="222" t="str">
        <f t="shared" si="0"/>
        <v>Jump to Privacy Policies and Procedures</v>
      </c>
      <c r="H27" s="119"/>
      <c r="I27" s="123"/>
      <c r="K27" s="357" t="s">
        <v>918</v>
      </c>
    </row>
    <row r="28" spans="1:11" s="84" customFormat="1" ht="40.5" customHeight="1" x14ac:dyDescent="0.3">
      <c r="B28" s="85" t="str">
        <f>VLOOKUP($K28,'Auto Responses'!$N$4:$O$38,2,0)&amp;""</f>
        <v xml:space="preserve"> International Privacy</v>
      </c>
      <c r="C28" s="117" t="b">
        <v>1</v>
      </c>
      <c r="D28" s="111">
        <f>IF($C28=TRUE,SUMIF('(backend scoring)'!$B$3:$B$333,$K28,'(backend scoring)'!$O$3:$O$333),"")</f>
        <v>50</v>
      </c>
      <c r="E28" s="118">
        <f>IF($C28=TRUE,SUMIF('(backend scoring)'!$B$3:$B$333,$K28,'(backend scoring)'!$P$3:$P$333),"")</f>
        <v>20</v>
      </c>
      <c r="F28" s="145">
        <f>IFERROR($E28/$D28,'Auto Responses'!$J$5)</f>
        <v>0.4</v>
      </c>
      <c r="G28" s="222" t="str">
        <f t="shared" si="0"/>
        <v>Jump to International Privacy</v>
      </c>
      <c r="H28" s="119"/>
      <c r="I28" s="123"/>
      <c r="K28" s="357" t="s">
        <v>920</v>
      </c>
    </row>
    <row r="29" spans="1:11" s="84" customFormat="1" ht="40.5" customHeight="1" x14ac:dyDescent="0.3">
      <c r="B29" s="85" t="str">
        <f>VLOOKUP($K29,'Auto Responses'!$N$4:$O$38,2,0)&amp;""</f>
        <v xml:space="preserve"> Data Privacy</v>
      </c>
      <c r="C29" s="117" t="b">
        <v>1</v>
      </c>
      <c r="D29" s="111">
        <f>IF($C29=TRUE,SUMIF('(backend scoring)'!$B$3:$B$333,$K29,'(backend scoring)'!$O$3:$O$333),"")</f>
        <v>150</v>
      </c>
      <c r="E29" s="118">
        <f>IF($C29=TRUE,SUMIF('(backend scoring)'!$B$3:$B$333,$K29,'(backend scoring)'!$P$3:$P$333),"")</f>
        <v>130</v>
      </c>
      <c r="F29" s="145">
        <f>IFERROR($E29/$D29,'Auto Responses'!$J$5)</f>
        <v>0.8666666666666667</v>
      </c>
      <c r="G29" s="222" t="str">
        <f t="shared" si="0"/>
        <v>Jump to Data Privacy</v>
      </c>
      <c r="H29" s="119"/>
      <c r="I29" s="123"/>
      <c r="K29" s="357" t="s">
        <v>1054</v>
      </c>
    </row>
    <row r="30" spans="1:11" s="84" customFormat="1" ht="40.5" customHeight="1" thickBot="1" x14ac:dyDescent="0.35">
      <c r="B30" s="85" t="str">
        <f>VLOOKUP($K30,'Auto Responses'!$N$4:$O$38,2,0)&amp;""</f>
        <v xml:space="preserve"> Privacy and AI</v>
      </c>
      <c r="C30" s="117" t="b">
        <v>1</v>
      </c>
      <c r="D30" s="111">
        <f>IF($C30=TRUE,SUMIF('(backend scoring)'!$B$3:$B$333,$K30,'(backend scoring)'!$O$3:$O$333),"")</f>
        <v>80</v>
      </c>
      <c r="E30" s="118">
        <f>IF($C30=TRUE,SUMIF('(backend scoring)'!$B$3:$B$333,$K30,'(backend scoring)'!$P$3:$P$333),"")</f>
        <v>45</v>
      </c>
      <c r="F30" s="145">
        <f>IFERROR($E30/$D30,'Auto Responses'!$J$5)</f>
        <v>0.5625</v>
      </c>
      <c r="G30" s="222" t="str">
        <f t="shared" si="0"/>
        <v>Jump to Privacy and AI</v>
      </c>
      <c r="H30" s="119"/>
      <c r="I30" s="123"/>
      <c r="K30" s="357" t="s">
        <v>923</v>
      </c>
    </row>
    <row r="31" spans="1:11" s="84" customFormat="1" ht="30" customHeight="1" thickBot="1" x14ac:dyDescent="0.3">
      <c r="B31" s="83" t="s">
        <v>967</v>
      </c>
      <c r="C31" s="110"/>
      <c r="D31" s="112">
        <f>SUM(D21:D30)</f>
        <v>540</v>
      </c>
      <c r="E31" s="112">
        <f>SUM(E21:E30)</f>
        <v>410</v>
      </c>
      <c r="F31" s="81">
        <f>IFERROR($E31/$D31,'Auto Responses'!$J$5)</f>
        <v>0.7592592592592593</v>
      </c>
      <c r="G31" s="128"/>
      <c r="H31" s="129"/>
      <c r="I31" s="130"/>
      <c r="J31" s="238" t="s">
        <v>1449</v>
      </c>
    </row>
    <row r="32" spans="1:11" ht="16.2" x14ac:dyDescent="0.3">
      <c r="F32" s="55" t="s">
        <v>943</v>
      </c>
    </row>
    <row r="33" spans="1:12" ht="16.2" x14ac:dyDescent="0.3"/>
    <row r="34" spans="1:12" ht="15" customHeight="1" x14ac:dyDescent="0.3"/>
    <row r="35" spans="1:12" s="180" customFormat="1" ht="36" customHeight="1" x14ac:dyDescent="0.25">
      <c r="A35" s="175" t="s">
        <v>1481</v>
      </c>
      <c r="B35" s="175"/>
      <c r="C35" s="179"/>
      <c r="D35" s="175"/>
      <c r="E35" s="175"/>
      <c r="F35" s="175"/>
      <c r="G35" s="175"/>
      <c r="H35" s="175"/>
      <c r="I35" s="175"/>
      <c r="J35" s="175"/>
      <c r="K35" s="175"/>
      <c r="L35" s="35"/>
    </row>
    <row r="36" spans="1:12" s="23" customFormat="1" ht="36" customHeight="1" x14ac:dyDescent="0.25">
      <c r="A36" s="24" t="s">
        <v>850</v>
      </c>
      <c r="B36" s="24"/>
      <c r="C36" s="69"/>
      <c r="D36" s="24"/>
      <c r="E36" s="24"/>
      <c r="F36" s="24"/>
      <c r="G36" s="24"/>
      <c r="H36" s="24"/>
      <c r="I36" s="24"/>
      <c r="J36" s="24"/>
      <c r="K36" s="24"/>
      <c r="L36" s="1"/>
    </row>
    <row r="37" spans="1:12" s="1" customFormat="1" ht="36" customHeight="1" x14ac:dyDescent="0.25">
      <c r="A37" s="11" t="s">
        <v>866</v>
      </c>
      <c r="B37" s="12"/>
      <c r="C37" s="13"/>
      <c r="D37" s="14"/>
      <c r="E37" s="14"/>
      <c r="F37" s="15"/>
      <c r="G37" s="15"/>
      <c r="H37" s="15"/>
      <c r="I37" s="15"/>
      <c r="J37" s="15"/>
      <c r="K37" s="15"/>
    </row>
    <row r="38" spans="1:12" s="1" customFormat="1" ht="19.5" customHeight="1" x14ac:dyDescent="0.25">
      <c r="A38" s="251" t="str">
        <f>HLOOKUP($A$4,'Auto Responses'!$F$2:$F$7,2,0)&amp;""</f>
        <v>1. Upon initial review, you can check the "Non-Negotiable" box by any question to compile a report of questions that may prohibit a full review.</v>
      </c>
      <c r="B38" s="251"/>
      <c r="C38" s="251"/>
      <c r="D38" s="251"/>
      <c r="E38" s="251"/>
      <c r="F38" s="251"/>
      <c r="G38" s="251"/>
      <c r="H38" s="251"/>
      <c r="I38" s="251"/>
      <c r="J38" s="251"/>
      <c r="K38" s="16"/>
    </row>
    <row r="39" spans="1:12" s="1" customFormat="1" ht="19.5" customHeight="1" x14ac:dyDescent="0.25">
      <c r="A39" s="251" t="str">
        <f>HLOOKUP($A$4,'Auto Responses'!$F$2:$F$7,3,0)&amp;""</f>
        <v>2. When evaluating an answer, a default importance level has been set. You can use the "Importance Override" dropdown to override the default and adjust the value of the question.</v>
      </c>
      <c r="B39" s="251"/>
      <c r="C39" s="251"/>
      <c r="D39" s="251"/>
      <c r="E39" s="251"/>
      <c r="F39" s="251"/>
      <c r="G39" s="251"/>
      <c r="H39" s="251"/>
      <c r="I39" s="251"/>
      <c r="J39" s="251"/>
      <c r="K39" s="16"/>
    </row>
    <row r="40" spans="1:12" s="1" customFormat="1" ht="19.5" customHeight="1" x14ac:dyDescent="0.25">
      <c r="A40" s="251" t="str">
        <f>HLOOKUP($A$4,'Auto Responses'!$F$2:$F$7,4,0)&amp;""</f>
        <v>3. For questions that are qualitative or for which you disagree with the preferred response, make a selection in the "Compliant Override" dropdown to adjust the question's impact on the score.</v>
      </c>
      <c r="B40" s="251"/>
      <c r="C40" s="251"/>
      <c r="D40" s="251"/>
      <c r="E40" s="251"/>
      <c r="F40" s="251"/>
      <c r="G40" s="251"/>
      <c r="H40" s="251"/>
      <c r="I40" s="251"/>
      <c r="J40" s="251"/>
      <c r="K40" s="16"/>
    </row>
    <row r="41" spans="1:12" s="1" customFormat="1" ht="19.5" customHeight="1" x14ac:dyDescent="0.25">
      <c r="A41" s="251" t="str">
        <f>HLOOKUP($A$4,'Auto Responses'!$F$2:$F$7,5,0)&amp;""</f>
        <v xml:space="preserve">4. Each worksheet shows a report for that section. See the "Analyst Report" sheet for a full report of all sections. </v>
      </c>
      <c r="B41" s="251"/>
      <c r="C41" s="251"/>
      <c r="D41" s="251"/>
      <c r="E41" s="251"/>
      <c r="F41" s="251"/>
      <c r="G41" s="251"/>
      <c r="H41" s="251"/>
      <c r="I41" s="251"/>
      <c r="J41" s="251"/>
      <c r="K41" s="16"/>
    </row>
    <row r="42" spans="1:12" s="1" customFormat="1" ht="19.5" customHeight="1" x14ac:dyDescent="0.25">
      <c r="A42" s="251" t="str">
        <f>HLOOKUP($A$4,'Auto Responses'!$F$2:$F$7,6,0)&amp;""</f>
        <v xml:space="preserve">5. If you are evaluating a question that appears in an earlier section, the Importance and Compliant Override cannot be changed but additional notes can be added. </v>
      </c>
      <c r="B42" s="251"/>
      <c r="C42" s="251"/>
      <c r="D42" s="251"/>
      <c r="E42" s="251"/>
      <c r="F42" s="251"/>
      <c r="G42" s="251"/>
      <c r="H42" s="251"/>
      <c r="I42" s="251"/>
      <c r="J42" s="251"/>
      <c r="K42" s="16"/>
    </row>
    <row r="43" spans="1:12" s="1" customFormat="1" ht="19.5" customHeight="1" thickBot="1" x14ac:dyDescent="0.3">
      <c r="A43" s="251" t="str">
        <f>HLOOKUP($A$4,'Auto Responses'!$F$2:$F$8,7,0)&amp;""</f>
        <v>For full instructions, please visit EDUCAUSE.edu/HECVAT</v>
      </c>
      <c r="B43" s="61"/>
      <c r="C43" s="61"/>
      <c r="D43" s="61"/>
      <c r="E43" s="61"/>
      <c r="F43" s="61"/>
      <c r="G43" s="61"/>
      <c r="H43" s="61"/>
      <c r="I43" s="61"/>
      <c r="J43" s="61"/>
      <c r="K43" s="16"/>
    </row>
    <row r="44" spans="1:12" s="23" customFormat="1" ht="41.25" customHeight="1" thickBot="1" x14ac:dyDescent="0.3">
      <c r="A44" s="25"/>
      <c r="B44" s="25"/>
      <c r="C44" s="70"/>
      <c r="D44" s="25"/>
      <c r="E44" s="25"/>
      <c r="F44" s="187" t="s">
        <v>849</v>
      </c>
      <c r="G44" s="182" t="s">
        <v>1034</v>
      </c>
      <c r="H44" s="183"/>
      <c r="I44" s="183"/>
      <c r="J44" s="183"/>
      <c r="K44" s="184"/>
      <c r="L44" s="1"/>
    </row>
    <row r="45" spans="1:12" s="29" customFormat="1" ht="48" customHeight="1" thickBot="1" x14ac:dyDescent="0.3">
      <c r="A45" s="26" t="s">
        <v>851</v>
      </c>
      <c r="B45" s="27" t="s">
        <v>1</v>
      </c>
      <c r="C45" s="27" t="s">
        <v>852</v>
      </c>
      <c r="D45" s="28" t="s">
        <v>72</v>
      </c>
      <c r="E45" s="307" t="s">
        <v>848</v>
      </c>
      <c r="F45" s="191" t="s">
        <v>1468</v>
      </c>
      <c r="G45" s="46" t="s">
        <v>869</v>
      </c>
      <c r="H45" s="43" t="s">
        <v>871</v>
      </c>
      <c r="I45" s="43" t="s">
        <v>19</v>
      </c>
      <c r="J45" s="44" t="s">
        <v>856</v>
      </c>
      <c r="K45" s="47" t="s">
        <v>867</v>
      </c>
      <c r="L45" s="1"/>
    </row>
    <row r="46" spans="1:12" s="1" customFormat="1" ht="17.399999999999999" x14ac:dyDescent="0.25">
      <c r="A46" s="63" t="str">
        <f>VLOOKUP(LEFT($A47,4),'Auto Responses'!$N$4:$O$38,2,0)&amp;""</f>
        <v xml:space="preserve"> General Privacy</v>
      </c>
      <c r="B46" s="22"/>
      <c r="C46" s="31"/>
      <c r="D46" s="31"/>
      <c r="E46" s="31"/>
      <c r="F46" s="132" t="s">
        <v>1030</v>
      </c>
      <c r="G46" s="335" t="s">
        <v>869</v>
      </c>
      <c r="H46" s="335" t="s">
        <v>871</v>
      </c>
      <c r="I46" s="335" t="s">
        <v>19</v>
      </c>
      <c r="J46" s="335" t="s">
        <v>856</v>
      </c>
      <c r="K46" s="31"/>
    </row>
    <row r="47" spans="1:12" s="29" customFormat="1" ht="97.2" x14ac:dyDescent="0.25">
      <c r="A47" s="19" t="s">
        <v>857</v>
      </c>
      <c r="B47" s="18" t="str">
        <f>VLOOKUP($A47,Questions!$A$2:$X$333,2,0)</f>
        <v>Does your solution process FERPA-related data?</v>
      </c>
      <c r="C47" s="45" t="str">
        <f>VLOOKUP($A47,Privacy!$A$13:$E$97,3,0)&amp;""</f>
        <v>Yes</v>
      </c>
      <c r="D47" s="34" t="str">
        <f>IF(LEFT(VLOOKUP($A47,Privacy!$A$13:$E$97,5,0),21)='Auto Responses'!$A$32,'Auto Responses'!$A$33,VLOOKUP($A47,Privacy!$A$13:$E$97,4,0))&amp;""</f>
        <v>student submissions.</v>
      </c>
      <c r="E47" s="332" t="str">
        <f>VLOOKUP($A47,Privacy!$A$13:$E$97,5,0)&amp;""</f>
        <v>Provide documentation on the types of FERPA data you process and for what purpose, including data unrelated to service delivery such as marketing.</v>
      </c>
      <c r="F47" s="188"/>
      <c r="G47" s="30" t="str">
        <f>VLOOKUP($A47,Questions!$A$2:$X$333,21,0)&amp;""</f>
        <v>Not scored</v>
      </c>
      <c r="H47" s="185"/>
      <c r="I47" s="45" t="str">
        <f>VLOOKUP($A47,Questions!$A$2:$X$333,23,0)&amp;""</f>
        <v/>
      </c>
      <c r="J47" s="185"/>
      <c r="K47" s="48" t="b">
        <v>0</v>
      </c>
      <c r="L47" s="1"/>
    </row>
    <row r="48" spans="1:12" s="29" customFormat="1" ht="64.8" x14ac:dyDescent="0.25">
      <c r="A48" s="19" t="s">
        <v>858</v>
      </c>
      <c r="B48" s="18" t="str">
        <f>VLOOKUP($A48,Questions!$A$2:$X$333,2,0)</f>
        <v>Does your solution process GDPR-related or PIPL-related data?</v>
      </c>
      <c r="C48" s="45" t="str">
        <f>VLOOKUP($A48,Privacy!$A$13:$E$97,3,0)&amp;""</f>
        <v>Yes</v>
      </c>
      <c r="D48" s="34" t="str">
        <f>IF(LEFT(VLOOKUP($A48,Privacy!$A$13:$E$97,5,0),21)='Auto Responses'!$A$32,'Auto Responses'!$A$33,VLOOKUP($A48,Privacy!$A$13:$E$97,4,0))&amp;""</f>
        <v>Typing biometric data, student submissions.</v>
      </c>
      <c r="E48" s="332" t="str">
        <f>VLOOKUP($A48,Privacy!$A$13:$E$97,5,0)&amp;""</f>
        <v>Provide documentation of any processes or policies that address compliance with GDPR and/or PIPL as appropriate.</v>
      </c>
      <c r="F48" s="188"/>
      <c r="G48" s="30" t="str">
        <f>VLOOKUP($A48,Questions!$A$2:$X$333,21,0)&amp;""</f>
        <v>Not scored</v>
      </c>
      <c r="H48" s="185"/>
      <c r="I48" s="45" t="str">
        <f>VLOOKUP($A48,Questions!$A$2:$X$333,23,0)&amp;""</f>
        <v/>
      </c>
      <c r="J48" s="185"/>
      <c r="K48" s="48" t="b">
        <v>0</v>
      </c>
      <c r="L48" s="1"/>
    </row>
    <row r="49" spans="1:12" s="29" customFormat="1" ht="64.8" x14ac:dyDescent="0.25">
      <c r="A49" s="19" t="s">
        <v>859</v>
      </c>
      <c r="B49" s="18" t="str">
        <f>VLOOKUP($A49,Questions!$A$2:$X$333,2,0)</f>
        <v>Does your solution process personal data regulated by state law(s) (e.g., CCPA)?</v>
      </c>
      <c r="C49" s="45" t="str">
        <f>VLOOKUP($A49,Privacy!$A$13:$E$97,3,0)&amp;""</f>
        <v>Yes</v>
      </c>
      <c r="D49" s="34" t="str">
        <f>IF(LEFT(VLOOKUP($A49,Privacy!$A$13:$E$97,5,0),21)='Auto Responses'!$A$32,'Auto Responses'!$A$33,VLOOKUP($A49,Privacy!$A$13:$E$97,4,0))&amp;""</f>
        <v>Typing biometric data, student submissions.</v>
      </c>
      <c r="E49" s="332" t="str">
        <f>VLOOKUP($A49,Privacy!$A$13:$E$97,5,0)&amp;""</f>
        <v>Provide documentation of any processes or policies that address compliance with applicable state laws.</v>
      </c>
      <c r="F49" s="188"/>
      <c r="G49" s="30" t="str">
        <f>VLOOKUP($A49,Questions!$A$2:$X$333,21,0)&amp;""</f>
        <v>Not scored</v>
      </c>
      <c r="H49" s="185"/>
      <c r="I49" s="45" t="str">
        <f>VLOOKUP($A49,Questions!$A$2:$X$333,23,0)&amp;""</f>
        <v/>
      </c>
      <c r="J49" s="185"/>
      <c r="K49" s="48" t="b">
        <v>0</v>
      </c>
      <c r="L49" s="1"/>
    </row>
    <row r="50" spans="1:12" s="29" customFormat="1" ht="97.2" x14ac:dyDescent="0.25">
      <c r="A50" s="19" t="s">
        <v>860</v>
      </c>
      <c r="B50" s="18" t="str">
        <f>VLOOKUP($A50,Questions!$A$2:$X$333,2,0)</f>
        <v>Does your solution process user-provided data that may contain regulated information?</v>
      </c>
      <c r="C50" s="45" t="str">
        <f>VLOOKUP($A50,Privacy!$A$13:$E$97,3,0)&amp;""</f>
        <v>Yes</v>
      </c>
      <c r="D50" s="34" t="str">
        <f>IF(LEFT(VLOOKUP($A50,Privacy!$A$13:$E$97,5,0),21)='Auto Responses'!$A$32,'Auto Responses'!$A$33,VLOOKUP($A50,Privacy!$A$13:$E$97,4,0))&amp;""</f>
        <v xml:space="preserve">We process FERPA regulated data (student submissions) securely, all team members are trained on FERPA requirements. </v>
      </c>
      <c r="E50" s="332" t="str">
        <f>VLOOKUP($A50,Privacy!$A$13:$E$97,5,0)&amp;""</f>
        <v>Identify any applicable regulations and provide documentation of any processes or policies that address compliance with each.</v>
      </c>
      <c r="F50" s="188"/>
      <c r="G50" s="30" t="str">
        <f>VLOOKUP($A50,Questions!$A$2:$X$333,21,0)&amp;""</f>
        <v>Not scored</v>
      </c>
      <c r="H50" s="185"/>
      <c r="I50" s="45" t="str">
        <f>VLOOKUP($A50,Questions!$A$2:$X$333,23,0)&amp;""</f>
        <v/>
      </c>
      <c r="J50" s="185"/>
      <c r="K50" s="48" t="b">
        <v>0</v>
      </c>
      <c r="L50" s="1"/>
    </row>
    <row r="51" spans="1:12" s="29" customFormat="1" ht="81" x14ac:dyDescent="0.25">
      <c r="A51" s="19" t="s">
        <v>861</v>
      </c>
      <c r="B51" s="18" t="str">
        <f>VLOOKUP($A51,Questions!$A$2:$X$333,2,0)</f>
        <v>Web Link to Product/Service Privacy Notice</v>
      </c>
      <c r="C51" s="305" t="str">
        <f>VLOOKUP($A51,Privacy!$A$13:$E$97,3,0)&amp;""</f>
        <v>https://cursivetechnology.com/privacy-policy/</v>
      </c>
      <c r="D51" s="34" t="str">
        <f>IF(LEFT(VLOOKUP($A51,Privacy!$A$13:$E$97,5,0),21)='Auto Responses'!$A$32,'Auto Responses'!$A$33,VLOOKUP($A51,Privacy!$A$13:$E$97,4,0))&amp;""</f>
        <v/>
      </c>
      <c r="E51" s="332" t="str">
        <f>VLOOKUP($A51,Privacy!$A$13:$E$97,5,0)&amp;""</f>
        <v>If multiple notices are implicated, provide all that apply. If any other documents are incorporated by reference, provide them as well.</v>
      </c>
      <c r="F51" s="188"/>
      <c r="G51" s="30" t="str">
        <f>VLOOKUP($A51,Questions!$A$2:$X$333,21,0)&amp;""</f>
        <v>Not scored</v>
      </c>
      <c r="H51" s="185"/>
      <c r="I51" s="45" t="str">
        <f>VLOOKUP($A51,Questions!$A$2:$X$333,23,0)&amp;""</f>
        <v/>
      </c>
      <c r="J51" s="185"/>
      <c r="K51" s="48" t="b">
        <v>0</v>
      </c>
      <c r="L51" s="1"/>
    </row>
    <row r="52" spans="1:12" s="1" customFormat="1" ht="17.399999999999999" x14ac:dyDescent="0.25">
      <c r="A52" s="63" t="str">
        <f>VLOOKUP(LEFT($A53,4),'Auto Responses'!$N$4:$O$38,2,0)&amp;""</f>
        <v xml:space="preserve"> Privacy-Specific Company Details</v>
      </c>
      <c r="B52" s="22"/>
      <c r="C52" s="31"/>
      <c r="D52" s="31"/>
      <c r="E52" s="331"/>
      <c r="F52" s="132" t="s">
        <v>1030</v>
      </c>
      <c r="G52" s="335" t="s">
        <v>869</v>
      </c>
      <c r="H52" s="335" t="s">
        <v>871</v>
      </c>
      <c r="I52" s="335" t="s">
        <v>19</v>
      </c>
      <c r="J52" s="335" t="s">
        <v>856</v>
      </c>
      <c r="K52" s="31"/>
    </row>
    <row r="53" spans="1:12" s="29" customFormat="1" ht="145.80000000000001" x14ac:dyDescent="0.25">
      <c r="A53" s="19" t="s">
        <v>697</v>
      </c>
      <c r="B53" s="18" t="str">
        <f>VLOOKUP($A53,Questions!$A$2:$X$333,2,0)</f>
        <v>Have you had a personal data breach in the past three years that involved reporting to a governmental agency, notice to individuals (including voluntary notice), or notice to another organization or institution?*</v>
      </c>
      <c r="C53" s="45" t="str">
        <f>VLOOKUP($A53,Privacy!$A$13:$E$97,3,0)&amp;""</f>
        <v>No</v>
      </c>
      <c r="D53" s="34" t="str">
        <f>IF(LEFT(VLOOKUP($A53,Privacy!$A$13:$E$97,5,0),21)='Auto Responses'!$A$32,'Auto Responses'!$A$33,VLOOKUP($A53,Privacy!$A$13:$E$97,4,0))&amp;""</f>
        <v>Cursive has not had a personal data breach in the past three years requiring reporting to a governmental agency, notice to individuals, or notice to another organization or institution.</v>
      </c>
      <c r="E53" s="330" t="str">
        <f>VLOOKUP($A53,Privacy!$A$13:$E$97,5,0)&amp;""</f>
        <v/>
      </c>
      <c r="F53" s="188"/>
      <c r="G53" s="30" t="str">
        <f>VLOOKUP($A53,Questions!$A$2:$X$333,21,0)&amp;""</f>
        <v>No</v>
      </c>
      <c r="H53" s="185"/>
      <c r="I53" s="45" t="str">
        <f>VLOOKUP($A53,Questions!$A$2:$X$333,23,0)&amp;""</f>
        <v>Critical Importance</v>
      </c>
      <c r="J53" s="185"/>
      <c r="K53" s="48" t="b">
        <v>0</v>
      </c>
      <c r="L53" s="1"/>
    </row>
    <row r="54" spans="1:12" s="29" customFormat="1" ht="409.6" x14ac:dyDescent="0.25">
      <c r="A54" s="19" t="s">
        <v>699</v>
      </c>
      <c r="B54" s="18" t="str">
        <f>VLOOKUP($A54,Questions!$A$2:$X$333,2,0)</f>
        <v>Use this area to share information about your privacy practices that will assist those who are assessing your company data privacy program.*</v>
      </c>
      <c r="C54" s="305" t="str">
        <f>VLOOKUP($A54,Privacy!$A$13:$E$97,3,0)&amp;""</f>
        <v>Your prelim answers are right on PCOM-01, -03, and -04. PCOM-02 is the freeform "sell yourself" question and your draft is in the right spirit but has typos and could be sharper — let me clean it up.
PCOM-01 | No*
Cursive has not had a personal data breach in the past three years requiring reporting to a governmental agency, notice to individuals, or notice to another organization or institution.
PCOM-02 | Polished version below*
Cursive's privacy program is built on three foundational principles that go beyond compliance baseline:
(1) Data minimization by architecture, not policy. Cursive's authorship verification operates on writing process telemetry tied to an opaque LMS-issued UUID — no name, email, IP-as-identifier, grade data, demographic information, or other directly identifying personal information is collected. The minimum dataset required to deliver the service is the only dataset Cursive collects.
(2) Local-first storage with transient server-side processing. Institutional data is stored on the client's Moodle LMS or in the writer's browser local storage. Where server-side processing is required, raw keystroke telemetry is processed transiently and deleted after authorship-payload generation; only the processed payload is retained. The browser extension implementation supports a fully local processing mode in which no data leaves the writer's device, providing private-by-default verification.
(3) Behaviometric data treated as sensitive personal information. Cursive captures keystroke biometric data — a documented sensitive personal information category under multiple jurisdictions (Illinois BIPA, GDPR Article 9, PIPL Article 28). This data is encrypted in transit (TLS 1.2+) and at rest (CNSA-grade AES-256), access-controlled via AWS IAM least-privilege, segregated by institution through tenant tagging, and excluded by default from any model-training use absent explicit written contractual agreement with the institution.
Supporting controls: documented Privacy Policy at https://cursivetechnology.com/privacy-policy/; Information Security Policies and Procedures aligned with NIST 800-53 control families; annual privacy and security training for all staff (FERPA 201 + KnowBe4); subprocessor inventory with NDA, IAM-controlled access, and exclusion of institutional data from any AI/ML training; cyber-risk insurance through The Hanover Insurance Group; documented Incident Response Plan with 24-hour breach notification commitment; willingness to sign FERPA school-official addenda and Data Processing Agreements upon institutional request.
Roadmap: formal Data Privacy Impact Assessment (DPIA) for TypeID and standalone AI Governance Policy are scoped for completion in 2026 alongside AWS security certification work and SOC 2 Type 2 attestation.</v>
      </c>
      <c r="D54" s="34" t="str">
        <f>IF(LEFT(VLOOKUP($A54,Privacy!$A$13:$E$97,5,0),21)='Auto Responses'!$A$32,'Auto Responses'!$A$33,VLOOKUP($A54,Privacy!$A$13:$E$97,4,0))&amp;""</f>
        <v/>
      </c>
      <c r="E54" s="330" t="str">
        <f>VLOOKUP($A54,Privacy!$A$13:$E$97,5,0)&amp;""</f>
        <v>Share any additional details that would help data privacy analysts assess your solution.</v>
      </c>
      <c r="F54" s="188"/>
      <c r="G54" s="30" t="str">
        <f>VLOOKUP($A54,Questions!$A$2:$X$333,21,0)&amp;""</f>
        <v>Not scored</v>
      </c>
      <c r="H54" s="185"/>
      <c r="I54" s="45" t="str">
        <f>VLOOKUP($A54,Questions!$A$2:$X$333,23,0)&amp;""</f>
        <v/>
      </c>
      <c r="J54" s="185"/>
      <c r="K54" s="48" t="b">
        <v>0</v>
      </c>
      <c r="L54" s="1"/>
    </row>
    <row r="55" spans="1:12" s="29" customFormat="1" ht="81" x14ac:dyDescent="0.25">
      <c r="A55" s="19" t="s">
        <v>700</v>
      </c>
      <c r="B55" s="18" t="str">
        <f>VLOOKUP($A55,Questions!$A$2:$X$333,2,0)</f>
        <v>Have you had any violations of your internal privacy policies or violations of applicable privacy law in the past 36 months?</v>
      </c>
      <c r="C55" s="45" t="str">
        <f>VLOOKUP($A55,Privacy!$A$13:$E$97,3,0)&amp;""</f>
        <v>No</v>
      </c>
      <c r="D55" s="34" t="str">
        <f>IF(LEFT(VLOOKUP($A55,Privacy!$A$13:$E$97,5,0),21)='Auto Responses'!$A$32,'Auto Responses'!$A$33,VLOOKUP($A55,Privacy!$A$13:$E$97,4,0))&amp;""</f>
        <v>Cursive has had no violations of its internal privacy policies or applicable privacy law in the past 36 months.</v>
      </c>
      <c r="E55" s="330" t="str">
        <f>VLOOKUP($A55,Privacy!$A$13:$E$97,5,0)&amp;""</f>
        <v/>
      </c>
      <c r="F55" s="188"/>
      <c r="G55" s="30" t="str">
        <f>VLOOKUP($A55,Questions!$A$2:$X$333,21,0)&amp;""</f>
        <v>No</v>
      </c>
      <c r="H55" s="185"/>
      <c r="I55" s="45" t="str">
        <f>VLOOKUP($A55,Questions!$A$2:$X$333,23,0)&amp;""</f>
        <v>Minor Importance</v>
      </c>
      <c r="J55" s="185"/>
      <c r="K55" s="48" t="b">
        <v>0</v>
      </c>
      <c r="L55" s="1"/>
    </row>
    <row r="56" spans="1:12" s="29" customFormat="1" ht="405" x14ac:dyDescent="0.25">
      <c r="A56" s="19" t="s">
        <v>701</v>
      </c>
      <c r="B56" s="18" t="str">
        <f>VLOOKUP($A56,Questions!$A$2:$X$333,2,0)</f>
        <v>Do you have a dedicated data privacy staff or office?</v>
      </c>
      <c r="C56" s="45" t="str">
        <f>VLOOKUP($A56,Privacy!$A$13:$E$97,3,0)&amp;""</f>
        <v>No</v>
      </c>
      <c r="D56" s="34" t="str">
        <f>IF(LEFT(VLOOKUP($A56,Privacy!$A$13:$E$97,5,0),21)='Auto Responses'!$A$32,'Auto Responses'!$A$33,VLOOKUP($A56,Privacy!$A$13:$E$97,4,0))&amp;""</f>
        <v>Cursive does not currently maintain a dedicated data privacy staff or office given current company size. The Founder/CEO serves as the named privacy point of contact and Information Security Officer, with external counsel engaged as needed for specific privacy matters. As Cursive scales, a dedicated privacy officer or fractional Data Protection Officer (DPO) is anticipated, particularly in advance of expanded EU/UK engagement where GDPR may require formal DPO designation.</v>
      </c>
      <c r="E56" s="330" t="str">
        <f>VLOOKUP($A56,Privacy!$A$13:$E$97,5,0)&amp;""</f>
        <v>Describe who is responsible for data privacy, including department, size, talents, resources, etc.</v>
      </c>
      <c r="F56" s="188"/>
      <c r="G56" s="30" t="str">
        <f>VLOOKUP($A56,Questions!$A$2:$X$333,21,0)&amp;""</f>
        <v>Yes</v>
      </c>
      <c r="H56" s="185"/>
      <c r="I56" s="45" t="str">
        <f>VLOOKUP($A56,Questions!$A$2:$X$333,23,0)&amp;""</f>
        <v>Minor Importance</v>
      </c>
      <c r="J56" s="185"/>
      <c r="K56" s="48" t="b">
        <v>0</v>
      </c>
      <c r="L56" s="1"/>
    </row>
    <row r="57" spans="1:12" s="1" customFormat="1" ht="17.399999999999999" x14ac:dyDescent="0.25">
      <c r="A57" s="63" t="str">
        <f>VLOOKUP(LEFT($A58,4),'Auto Responses'!$N$4:$O$38,2,0)&amp;""</f>
        <v xml:space="preserve"> Privacy-Specific Documentation</v>
      </c>
      <c r="B57" s="22"/>
      <c r="C57" s="31"/>
      <c r="D57" s="31"/>
      <c r="E57" s="331"/>
      <c r="F57" s="132" t="s">
        <v>1030</v>
      </c>
      <c r="G57" s="335" t="s">
        <v>869</v>
      </c>
      <c r="H57" s="335" t="s">
        <v>871</v>
      </c>
      <c r="I57" s="335" t="s">
        <v>19</v>
      </c>
      <c r="J57" s="335" t="s">
        <v>856</v>
      </c>
      <c r="K57" s="31"/>
    </row>
    <row r="58" spans="1:12" s="29" customFormat="1" ht="64.8" x14ac:dyDescent="0.25">
      <c r="A58" s="19" t="s">
        <v>702</v>
      </c>
      <c r="B58" s="18" t="str">
        <f>VLOOKUP($A58,Questions!$A$2:$X$333,2,0)</f>
        <v>If you have completed a SOC 2 audit, does it include the Privacy Trust Service Principle?</v>
      </c>
      <c r="C58" s="45" t="str">
        <f>VLOOKUP($A58,Privacy!$A$13:$E$97,3,0)&amp;""</f>
        <v>N/A</v>
      </c>
      <c r="D58" s="34" t="str">
        <f>IF(LEFT(VLOOKUP($A58,Privacy!$A$13:$E$97,5,0),21)='Auto Responses'!$A$32,'Auto Responses'!$A$33,VLOOKUP($A58,Privacy!$A$13:$E$97,4,0))&amp;""</f>
        <v>We have not completed a SOC 2 Audit</v>
      </c>
      <c r="E58" s="330" t="str">
        <f>VLOOKUP($A58,Privacy!$A$13:$E$97,5,0)&amp;""</f>
        <v>Please explain why this does not apply to your organization, product or service.</v>
      </c>
      <c r="F58" s="188"/>
      <c r="G58" s="30" t="str">
        <f>VLOOKUP($A58,Questions!$A$2:$X$333,21,0)&amp;""</f>
        <v>Not scored</v>
      </c>
      <c r="H58" s="185"/>
      <c r="I58" s="45" t="str">
        <f>VLOOKUP($A58,Questions!$A$2:$X$333,23,0)&amp;""</f>
        <v/>
      </c>
      <c r="J58" s="185"/>
      <c r="K58" s="48" t="b">
        <v>0</v>
      </c>
      <c r="L58" s="1"/>
    </row>
    <row r="59" spans="1:12" s="29" customFormat="1" ht="113.4" x14ac:dyDescent="0.25">
      <c r="A59" s="19" t="s">
        <v>703</v>
      </c>
      <c r="B59" s="18" t="str">
        <f>VLOOKUP($A59,Questions!$A$2:$X$333,2,0)</f>
        <v>Do you conform with a specific industry-standard privacy framework (e.g., NIST Privacy Framework, GDPR, ISO 27701)?</v>
      </c>
      <c r="C59" s="45" t="str">
        <f>VLOOKUP($A59,Privacy!$A$13:$E$97,3,0)&amp;""</f>
        <v>No</v>
      </c>
      <c r="D59" s="34" t="str">
        <f>IF(LEFT(VLOOKUP($A59,Privacy!$A$13:$E$97,5,0),21)='Auto Responses'!$A$32,'Auto Responses'!$A$33,VLOOKUP($A59,Privacy!$A$13:$E$97,4,0))&amp;""</f>
        <v>We align with NIST 800-53 controls in our policy framework but have not pursued certification.</v>
      </c>
      <c r="E59" s="330" t="str">
        <f>VLOOKUP($A59,Privacy!$A$13:$E$97,5,0)&amp;""</f>
        <v>Please provide any plans to conform with one or more of the industry-standard frameworks, including anticipated timelines, and indicate which framework(s) will be used.</v>
      </c>
      <c r="F59" s="188"/>
      <c r="G59" s="30" t="str">
        <f>VLOOKUP($A59,Questions!$A$2:$X$333,21,0)&amp;""</f>
        <v>Not scored</v>
      </c>
      <c r="H59" s="185"/>
      <c r="I59" s="45" t="str">
        <f>VLOOKUP($A59,Questions!$A$2:$X$333,23,0)&amp;""</f>
        <v/>
      </c>
      <c r="J59" s="185"/>
      <c r="K59" s="48" t="b">
        <v>0</v>
      </c>
      <c r="L59" s="1"/>
    </row>
    <row r="60" spans="1:12" s="29" customFormat="1" ht="97.2" x14ac:dyDescent="0.25">
      <c r="A60" s="19" t="s">
        <v>704</v>
      </c>
      <c r="B60" s="18" t="str">
        <f>VLOOKUP($A60,Questions!$A$2:$X$333,2,0)</f>
        <v>Does your employee onboarding and offboarding policy include training of employees on information security and data privacy?</v>
      </c>
      <c r="C60" s="45" t="str">
        <f>VLOOKUP($A60,Privacy!$A$13:$E$97,3,0)&amp;""</f>
        <v>Yes</v>
      </c>
      <c r="D60" s="34" t="str">
        <f>IF(LEFT(VLOOKUP($A60,Privacy!$A$13:$E$97,5,0),21)='Auto Responses'!$A$32,'Auto Responses'!$A$33,VLOOKUP($A60,Privacy!$A$13:$E$97,4,0))&amp;""</f>
        <v xml:space="preserve">Cursive Technology Policies, Procedures, &amp; Information Security Policy </v>
      </c>
      <c r="E60" s="330" t="str">
        <f>VLOOKUP($A60,Privacy!$A$13:$E$97,5,0)&amp;""</f>
        <v>Provide an overview of your organization's relevant onboarding/offboarding policy and employee training on information security and privacy.</v>
      </c>
      <c r="F60" s="188"/>
      <c r="G60" s="30" t="str">
        <f>VLOOKUP($A60,Questions!$A$2:$X$333,21,0)&amp;""</f>
        <v>Yes</v>
      </c>
      <c r="H60" s="185"/>
      <c r="I60" s="45" t="str">
        <f>VLOOKUP($A60,Questions!$A$2:$X$333,23,0)&amp;""</f>
        <v>Standard Importance</v>
      </c>
      <c r="J60" s="185"/>
      <c r="K60" s="48" t="b">
        <v>0</v>
      </c>
      <c r="L60" s="1"/>
    </row>
    <row r="61" spans="1:12" s="1" customFormat="1" ht="17.399999999999999" x14ac:dyDescent="0.25">
      <c r="A61" s="63" t="str">
        <f>VLOOKUP(LEFT($A62,4),'Auto Responses'!$N$4:$O$38,2,0)&amp;""</f>
        <v xml:space="preserve"> Privacy of Third Parties</v>
      </c>
      <c r="B61" s="22"/>
      <c r="C61" s="31"/>
      <c r="D61" s="31"/>
      <c r="E61" s="331"/>
      <c r="F61" s="132" t="s">
        <v>1030</v>
      </c>
      <c r="G61" s="335" t="s">
        <v>869</v>
      </c>
      <c r="H61" s="335" t="s">
        <v>871</v>
      </c>
      <c r="I61" s="335" t="s">
        <v>19</v>
      </c>
      <c r="J61" s="335" t="s">
        <v>856</v>
      </c>
      <c r="K61" s="31"/>
    </row>
    <row r="62" spans="1:12" s="29" customFormat="1" ht="409.6" x14ac:dyDescent="0.25">
      <c r="A62" s="19" t="s">
        <v>706</v>
      </c>
      <c r="B62" s="18" t="str">
        <f>VLOOKUP($A62,Questions!$A$2:$X$333,2,0)</f>
        <v>Do you have contractual agreements with third parties that require them to maintain standards and to comply with all regulatory requirements?*</v>
      </c>
      <c r="C62" s="45" t="str">
        <f>VLOOKUP($A62,Privacy!$A$13:$E$97,3,0)&amp;""</f>
        <v>Yes</v>
      </c>
      <c r="D62" s="34" t="str">
        <f>IF(LEFT(VLOOKUP($A62,Privacy!$A$13:$E$97,5,0),21)='Auto Responses'!$A$32,'Auto Responses'!$A$33,VLOOKUP($A62,Privacy!$A$13:$E$97,4,0))&amp;""</f>
        <v>Cursive maintains contractual agreements with all subprocessors that have any access to Cursive infrastructure or institutional data flows (AWS, Brain-Station 23 in Bangladesh, AWS engineering contractor in India, Tech Worm LLC in UAE, Google Workspace, GitHub, Linear, Bitwarden, KnowBe4, Checkr, The Hanover). Subprocessor agreements include NDA terms, data-use limitations, confidentiality obligations, and (for offshore engineering subprocessors) explicit terms restricting access to non-production environments and prohibiting use of institutional client data in any model training. Subprocessor selection per the Cursive Vendor Management Policy prioritizes vendors that maintain industry attestations (SOC 2 Type 2, ISO 27001) and clearly published policies supporting enterprise-level security and privacy practices. Compliance is verified at engagement and reviewed annually per the Cursive Compliance Policy and Procedure Review Calendar.</v>
      </c>
      <c r="E62" s="330" t="str">
        <f>VLOOKUP($A62,Privacy!$A$13:$E$97,5,0)&amp;""</f>
        <v>Provide a summary of the contractual language used and your processes for ensuring appropriate language is regularly reviewed and is included in both new and renewed agreements.</v>
      </c>
      <c r="F62" s="188"/>
      <c r="G62" s="30" t="str">
        <f>VLOOKUP($A62,Questions!$A$2:$X$333,21,0)&amp;""</f>
        <v>Yes</v>
      </c>
      <c r="H62" s="185"/>
      <c r="I62" s="45" t="str">
        <f>VLOOKUP($A62,Questions!$A$2:$X$333,23,0)&amp;""</f>
        <v>Critical Importance</v>
      </c>
      <c r="J62" s="185"/>
      <c r="K62" s="48" t="b">
        <v>0</v>
      </c>
      <c r="L62" s="1"/>
    </row>
    <row r="63" spans="1:12" s="29" customFormat="1" ht="409.6" x14ac:dyDescent="0.25">
      <c r="A63" s="19" t="s">
        <v>708</v>
      </c>
      <c r="B63" s="18" t="str">
        <f>VLOOKUP($A63,Questions!$A$2:$X$333,2,0)</f>
        <v>Do you perform privacy impact assessments of third parties that collect, process, or have access to personal data to ensure they meet industry and regulatory standards and to mitigate harmful, unethical, or discriminatory impacts on data subjects?</v>
      </c>
      <c r="C63" s="45" t="str">
        <f>VLOOKUP($A63,Privacy!$A$13:$E$97,3,0)&amp;""</f>
        <v>No</v>
      </c>
      <c r="D63" s="34" t="str">
        <f>IF(LEFT(VLOOKUP($A63,Privacy!$A$13:$E$97,5,0),21)='Auto Responses'!$A$32,'Auto Responses'!$A$33,VLOOKUP($A63,Privacy!$A$13:$E$97,4,0))&amp;""</f>
        <v>Partial - Cursive maintains contractual agreements with all subprocessors that have any access to Cursive infrastructure or institutional data flows (AWS, Brain-Station 23 in Bangladesh, AWS engineering contractor in India, Tech Worm LLC in UAE, Google Workspace, GitHub, Linear, Bitwarden, KnowBe4, Checkr, The Hanover). Subprocessor agreements include NDA terms, data-use limitations, confidentiality obligations, and (for offshore engineering subprocessors) explicit terms restricting access to non-production environments and prohibiting use of institutional client data in any model training. Subprocessor selection per the Cursive Vendor Management Policy prioritizes vendors that maintain industry attestations (SOC 2 Type 2, ISO 27001) and clearly published policies supporting enterprise-level security and privacy practices. Compliance is verified at engagement and reviewed annually per the Cursive Compliance Policy and Procedure Review Calendar.</v>
      </c>
      <c r="E63" s="330" t="str">
        <f>VLOOKUP($A63,Privacy!$A$13:$E$97,5,0)&amp;""</f>
        <v>State your plans to perform data privacy assessments of third parties, including anticipated timelines and remediations if existing third parties cannot maintain or ensure privacy and security of client data entrusted to your organization.</v>
      </c>
      <c r="F63" s="188"/>
      <c r="G63" s="30" t="str">
        <f>VLOOKUP($A63,Questions!$A$2:$X$333,21,0)&amp;""</f>
        <v>Yes</v>
      </c>
      <c r="H63" s="185"/>
      <c r="I63" s="45" t="str">
        <f>VLOOKUP($A63,Questions!$A$2:$X$333,23,0)&amp;""</f>
        <v>Minor Importance</v>
      </c>
      <c r="J63" s="185"/>
      <c r="K63" s="48" t="b">
        <v>0</v>
      </c>
      <c r="L63" s="1"/>
    </row>
    <row r="64" spans="1:12" s="1" customFormat="1" ht="17.399999999999999" x14ac:dyDescent="0.25">
      <c r="A64" s="63" t="str">
        <f>VLOOKUP(LEFT($A65,4),'Auto Responses'!$N$4:$O$38,2,0)&amp;""</f>
        <v xml:space="preserve"> Privacy Change Management</v>
      </c>
      <c r="B64" s="22"/>
      <c r="C64" s="31"/>
      <c r="D64" s="31"/>
      <c r="E64" s="331"/>
      <c r="F64" s="132" t="s">
        <v>1030</v>
      </c>
      <c r="G64" s="335" t="s">
        <v>869</v>
      </c>
      <c r="H64" s="335" t="s">
        <v>871</v>
      </c>
      <c r="I64" s="335" t="s">
        <v>19</v>
      </c>
      <c r="J64" s="335" t="s">
        <v>856</v>
      </c>
      <c r="K64" s="31"/>
    </row>
    <row r="65" spans="1:12" s="29" customFormat="1" ht="409.6" x14ac:dyDescent="0.25">
      <c r="A65" s="19" t="s">
        <v>709</v>
      </c>
      <c r="B65" s="18" t="str">
        <f>VLOOKUP($A65,Questions!$A$2:$X$333,2,0)</f>
        <v>Does your change management process include privacy review and approval?</v>
      </c>
      <c r="C65" s="45" t="str">
        <f>VLOOKUP($A65,Privacy!$A$13:$E$97,3,0)&amp;""</f>
        <v>Yes</v>
      </c>
      <c r="D65" s="34" t="str">
        <f>IF(LEFT(VLOOKUP($A65,Privacy!$A$13:$E$97,5,0),21)='Auto Responses'!$A$32,'Auto Responses'!$A$33,VLOOKUP($A65,Privacy!$A$13:$E$97,4,0))&amp;""</f>
        <v>Privacy review is incorporated into Cursive's change management process via the Security Impact Analysis step in the SDLC. Per the Cursive Policies and Procedures, all material changes to the information system undergo review for security and privacy impact before approval; the Founder/CEO (acting as Information Security Officer and named privacy point of contact) approves changes that touch institutional data handling, retention, AI/ML model behavior, or subprocessor access. Changes affecting privacy posture trigger downstream documentation updates (Privacy Policy, data inventory, POAM) as part of the change-management workflow tracked in Linear and GitHub.</v>
      </c>
      <c r="E65" s="330" t="str">
        <f>VLOOKUP($A65,Privacy!$A$13:$E$97,5,0)&amp;""</f>
        <v>Please describe your process for privacy review.</v>
      </c>
      <c r="F65" s="188"/>
      <c r="G65" s="30" t="str">
        <f>VLOOKUP($A65,Questions!$A$2:$X$333,21,0)&amp;""</f>
        <v>Yes</v>
      </c>
      <c r="H65" s="185"/>
      <c r="I65" s="45" t="str">
        <f>VLOOKUP($A65,Questions!$A$2:$X$333,23,0)&amp;""</f>
        <v>Standard Importance</v>
      </c>
      <c r="J65" s="185"/>
      <c r="K65" s="48" t="b">
        <v>0</v>
      </c>
      <c r="L65" s="1"/>
    </row>
    <row r="66" spans="1:12" s="29" customFormat="1" ht="409.6" x14ac:dyDescent="0.25">
      <c r="A66" s="19" t="s">
        <v>711</v>
      </c>
      <c r="B66" s="18" t="str">
        <f>VLOOKUP($A66,Questions!$A$2:$X$333,2,0)</f>
        <v>Do you have policy and procedure, currently implemented, guiding how privacy risks are mitigated until they can be resolved?</v>
      </c>
      <c r="C66" s="45" t="str">
        <f>VLOOKUP($A66,Privacy!$A$13:$E$97,3,0)&amp;""</f>
        <v>Yes</v>
      </c>
      <c r="D66" s="34" t="str">
        <f>IF(LEFT(VLOOKUP($A66,Privacy!$A$13:$E$97,5,0),21)='Auto Responses'!$A$32,'Auto Responses'!$A$33,VLOOKUP($A66,Privacy!$A$13:$E$97,4,0))&amp;""</f>
        <v>Cursive's Plan of Action and Milestones (POAM) governs how identified privacy and security risks are mitigated until full remediation is achieved. Per the Cursive Policies and Procedures, identified issues are categorized by severity (Critical: 7 days; High: 30 days; Medium: 60 days; Low: 90 days), and interim compensating controls are applied during the remediation window where risk warrants. Compensating controls may include access restriction via AWS IAM, contractual notification to affected institutional customers, configuration hardening, or temporary feature disablement. The POAM is reviewed regularly and tracked in Linear; risk acceptance for any unresolved item beyond standard remediation timelines requires explicit Founder/CEO sign-off.</v>
      </c>
      <c r="E66" s="330" t="str">
        <f>VLOOKUP($A66,Privacy!$A$13:$E$97,5,0)&amp;""</f>
        <v>Please provide an overview of privacy risk mitigation.</v>
      </c>
      <c r="F66" s="188"/>
      <c r="G66" s="30" t="str">
        <f>VLOOKUP($A66,Questions!$A$2:$X$333,21,0)&amp;""</f>
        <v>Yes</v>
      </c>
      <c r="H66" s="185"/>
      <c r="I66" s="45" t="str">
        <f>VLOOKUP($A66,Questions!$A$2:$X$333,23,0)&amp;""</f>
        <v>Minor Importance</v>
      </c>
      <c r="J66" s="185"/>
      <c r="K66" s="48" t="b">
        <v>0</v>
      </c>
      <c r="L66" s="1"/>
    </row>
    <row r="67" spans="1:12" s="1" customFormat="1" ht="17.399999999999999" x14ac:dyDescent="0.25">
      <c r="A67" s="63" t="str">
        <f>VLOOKUP(LEFT($A68,4),'Auto Responses'!$N$4:$O$38,2,0)&amp;""</f>
        <v xml:space="preserve"> Privacy of Sensitive Data</v>
      </c>
      <c r="B67" s="22"/>
      <c r="C67" s="31"/>
      <c r="D67" s="31"/>
      <c r="E67" s="331"/>
      <c r="F67" s="132" t="s">
        <v>1030</v>
      </c>
      <c r="G67" s="335" t="s">
        <v>869</v>
      </c>
      <c r="H67" s="335" t="s">
        <v>871</v>
      </c>
      <c r="I67" s="335" t="s">
        <v>19</v>
      </c>
      <c r="J67" s="335" t="s">
        <v>856</v>
      </c>
      <c r="K67" s="31"/>
    </row>
    <row r="68" spans="1:12" s="29" customFormat="1" ht="372.6" x14ac:dyDescent="0.25">
      <c r="A68" s="19" t="s">
        <v>713</v>
      </c>
      <c r="B68" s="18" t="str">
        <f>VLOOKUP($A68,Questions!$A$2:$X$333,2,0)</f>
        <v>Do you collect, process, or store demographic information?*</v>
      </c>
      <c r="C68" s="45" t="str">
        <f>VLOOKUP($A68,Privacy!$A$13:$E$97,3,0)&amp;""</f>
        <v>No</v>
      </c>
      <c r="D68" s="34" t="str">
        <f>IF(LEFT(VLOOKUP($A68,Privacy!$A$13:$E$97,5,0),21)='Auto Responses'!$A$32,'Auto Responses'!$A$33,VLOOKUP($A68,Privacy!$A$13:$E$97,4,0))&amp;""</f>
        <v>Cursive does not collect, process, or store demographic information about end users (students or instructors). No race, ethnicity, gender, age, disability status, national origin, language, or socioeconomic data is collected. The data inventory is limited to writing process telemetry (canvas activity, pastes, final text, keystroke timing), an opaque LMS-issued UUID, and/or user type to manage onboarding — no demographic fields are collected by Cursive.</v>
      </c>
      <c r="E68" s="330" t="str">
        <f>VLOOKUP($A68,Privacy!$A$13:$E$97,5,0)&amp;""</f>
        <v>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v>
      </c>
      <c r="F68" s="188"/>
      <c r="G68" s="30" t="str">
        <f>VLOOKUP($A68,Questions!$A$2:$X$333,21,0)&amp;""</f>
        <v>No</v>
      </c>
      <c r="H68" s="185"/>
      <c r="I68" s="45" t="str">
        <f>VLOOKUP($A68,Questions!$A$2:$X$333,23,0)&amp;""</f>
        <v>Critical Importance</v>
      </c>
      <c r="J68" s="185"/>
      <c r="K68" s="48" t="b">
        <v>0</v>
      </c>
      <c r="L68" s="1"/>
    </row>
    <row r="69" spans="1:12" s="29" customFormat="1" ht="409.6" x14ac:dyDescent="0.25">
      <c r="A69" s="19" t="s">
        <v>715</v>
      </c>
      <c r="B69" s="18" t="str">
        <f>VLOOKUP($A69,Questions!$A$2:$X$333,2,0)</f>
        <v>Do you capture or create genetic, biometric, or behaviometric information (e.g., facial recognition or fingerprints)?*</v>
      </c>
      <c r="C69" s="45" t="str">
        <f>VLOOKUP($A69,Privacy!$A$13:$E$97,3,0)&amp;""</f>
        <v>Yes</v>
      </c>
      <c r="D69" s="34" t="str">
        <f>IF(LEFT(VLOOKUP($A69,Privacy!$A$13:$E$97,5,0),21)='Auto Responses'!$A$32,'Auto Responses'!$A$33,VLOOKUP($A69,Privacy!$A$13:$E$97,4,0))&amp;""</f>
        <v>Cursive captures behaviometric (typing-biometric) information as the foundation of the TypeID service. Specifically, keystroke timing data — including dwell time, flight time, and typing rhythm patterns — is collected during the writing session and used by the proprietary Keyread model to perform authorship verification. No genetic data, facial recognition, fingerprint capture, voice biometrics, or other physiological biometrics are collected. Behaviometric data is tied to an opaque LMS-issued UUID (no name, email, or other directly identifying information is associated with the keystroke telemetry by Cursive). Treatment of behaviometric data is described in the Privacy Policy at https://cursivetechnology.com/privacy-policy/, including the local-first storage model, transient server-side processing (raw telemetry deleted after authorship-payload generation), and default opt-out from any model-training use.</v>
      </c>
      <c r="E69" s="330" t="str">
        <f>VLOOKUP($A69,Privacy!$A$13:$E$97,5,0)&amp;""</f>
        <v>Briefly summarize your use of such information and the protection thereof.</v>
      </c>
      <c r="F69" s="188"/>
      <c r="G69" s="30" t="str">
        <f>VLOOKUP($A69,Questions!$A$2:$X$333,21,0)&amp;""</f>
        <v>No</v>
      </c>
      <c r="H69" s="185"/>
      <c r="I69" s="45" t="str">
        <f>VLOOKUP($A69,Questions!$A$2:$X$333,23,0)&amp;""</f>
        <v>Critical Importance</v>
      </c>
      <c r="J69" s="185"/>
      <c r="K69" s="48" t="b">
        <v>0</v>
      </c>
      <c r="L69" s="1"/>
    </row>
    <row r="70" spans="1:12" s="29" customFormat="1" ht="340.2" x14ac:dyDescent="0.25">
      <c r="A70" s="19" t="s">
        <v>717</v>
      </c>
      <c r="B70" s="18" t="str">
        <f>VLOOKUP($A70,Questions!$A$2:$X$333,2,0)</f>
        <v>Do you combine institutional data (including "de-identified," "anonymized," or otherwise masked data) with personal data from any other sources?*</v>
      </c>
      <c r="C70" s="45" t="str">
        <f>VLOOKUP($A70,Privacy!$A$13:$E$97,3,0)&amp;""</f>
        <v>No</v>
      </c>
      <c r="D70" s="34" t="str">
        <f>IF(LEFT(VLOOKUP($A70,Privacy!$A$13:$E$97,5,0),21)='Auto Responses'!$A$32,'Auto Responses'!$A$33,VLOOKUP($A70,Privacy!$A$13:$E$97,4,0))&amp;""</f>
        <v>Cursive does not combine institutional data with personal data from any other source. The Keyread and Copy-behavior models operate exclusively on writing process telemetry generated within the institutional LMS context, tied to the LMS-issued UUID. No external data sources (data brokers, public records, social media, marketing databases, third-party identity providers) are used to enrich, augment, or join with institutional data.</v>
      </c>
      <c r="E70" s="330" t="str">
        <f>VLOOKUP($A70,Privacy!$A$13:$E$97,5,0)&amp;""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70" s="188"/>
      <c r="G70" s="30" t="str">
        <f>VLOOKUP($A70,Questions!$A$2:$X$333,21,0)&amp;""</f>
        <v>No</v>
      </c>
      <c r="H70" s="185"/>
      <c r="I70" s="45" t="str">
        <f>VLOOKUP($A70,Questions!$A$2:$X$333,23,0)&amp;""</f>
        <v>Critical Importance</v>
      </c>
      <c r="J70" s="185"/>
      <c r="K70" s="48" t="b">
        <v>0</v>
      </c>
      <c r="L70" s="1"/>
    </row>
    <row r="71" spans="1:12" s="29" customFormat="1" ht="409.6" x14ac:dyDescent="0.25">
      <c r="A71" s="19" t="s">
        <v>718</v>
      </c>
      <c r="B71" s="18" t="str">
        <f>VLOOKUP($A71,Questions!$A$2:$X$333,2,0)</f>
        <v>Is institutional data coming into or going out of the United States at any point during collection, processing, storage, or archiving?</v>
      </c>
      <c r="C71" s="45" t="str">
        <f>VLOOKUP($A71,Privacy!$A$13:$E$97,3,0)&amp;""</f>
        <v>Yes</v>
      </c>
      <c r="D71" s="34" t="str">
        <f>IF(LEFT(VLOOKUP($A71,Privacy!$A$13:$E$97,5,0),21)='Auto Responses'!$A$32,'Auto Responses'!$A$33,VLOOKUP($A71,Privacy!$A$13:$E$97,4,0))&amp;""</f>
        <v xml:space="preserve">
Institutional data may transit national borders during the engagement lifecycle in two specific contexts: (1) For international clients telemetry generated by users at the origin transits to AWS US-East-1 (N. Virginia) for processing, and authorship payloads are returned to the institution's Moodle environment; (2) Code deployments by offshore subprocessor engineering teams (Brain-Station 23 in Bangladesh, AWS engineering contractor in India, Tech Worm LLC in UAE) are pushed into the AWS US-East-1 production environment via AWS IAM-controlled access, but these subprocessors do not download or extract institutional production data. Storage and processing remain in AWS US-East-1; subprocessors deploy code into the US, they do not export data out. All data in transit is protected by TLS 1.2+ encryption.</v>
      </c>
      <c r="E71" s="330" t="str">
        <f>VLOOKUP($A71,Privacy!$A$13:$E$97,5,0)&amp;""</f>
        <v>Describe where and whether you comply with the laws of that jurisdiction.</v>
      </c>
      <c r="F71" s="188"/>
      <c r="G71" s="30" t="str">
        <f>VLOOKUP($A71,Questions!$A$2:$X$333,21,0)&amp;""</f>
        <v>No</v>
      </c>
      <c r="H71" s="185"/>
      <c r="I71" s="45" t="str">
        <f>VLOOKUP($A71,Questions!$A$2:$X$333,23,0)&amp;""</f>
        <v>Minor Importance</v>
      </c>
      <c r="J71" s="185"/>
      <c r="K71" s="48" t="b">
        <v>0</v>
      </c>
      <c r="L71" s="1"/>
    </row>
    <row r="72" spans="1:12" s="29" customFormat="1" ht="409.6" x14ac:dyDescent="0.25">
      <c r="A72" s="19" t="s">
        <v>719</v>
      </c>
      <c r="B72" s="18" t="str">
        <f>VLOOKUP($A72,Questions!$A$2:$X$333,2,0)</f>
        <v>Do you capture device information (e.g., IP address, MAC address)?</v>
      </c>
      <c r="C72" s="45" t="str">
        <f>VLOOKUP($A72,Privacy!$A$13:$E$97,3,0)&amp;""</f>
        <v>No</v>
      </c>
      <c r="D72" s="34" t="str">
        <f>IF(LEFT(VLOOKUP($A72,Privacy!$A$13:$E$97,5,0),21)='Auto Responses'!$A$32,'Auto Responses'!$A$33,VLOOKUP($A72,Privacy!$A$13:$E$97,4,0))&amp;""</f>
        <v>Cursive does not collect MAC addresses or persistent device fingerprints. IP addresses may be incidentally captured in standard AWS web server access logs as part of operational logging (consistent with industry-standard infrastructure logging) but are not used as user identifiers, are not associated with the authorship telemetry, and are not retained beyond standard log retention windows. The Keyread and Copy-behavior models do not consume IP addresses or device identifiers as features; identity is established through the opaque LMS-issued UUID or key fingerprint which is a Cursive-created UUID in lieu of LMS-issued UUID.</v>
      </c>
      <c r="E72" s="330" t="str">
        <f>VLOOKUP($A72,Privacy!$A$13:$E$97,5,0)&amp;""</f>
        <v>Device information can be captured for a variety of reasons, from analytics to marketing to network management and security. It is important to know the details in order to be clear on the privacy implications.</v>
      </c>
      <c r="F72" s="188"/>
      <c r="G72" s="30" t="str">
        <f>VLOOKUP($A72,Questions!$A$2:$X$333,21,0)&amp;""</f>
        <v>No</v>
      </c>
      <c r="H72" s="185"/>
      <c r="I72" s="45" t="str">
        <f>VLOOKUP($A72,Questions!$A$2:$X$333,23,0)&amp;""</f>
        <v>Minor Importance</v>
      </c>
      <c r="J72" s="185"/>
      <c r="K72" s="48" t="b">
        <v>0</v>
      </c>
      <c r="L72" s="1"/>
    </row>
    <row r="73" spans="1:12" s="29" customFormat="1" ht="324" x14ac:dyDescent="0.25">
      <c r="A73" s="19" t="s">
        <v>720</v>
      </c>
      <c r="B73" s="18" t="str">
        <f>VLOOKUP($A73,Questions!$A$2:$X$333,2,0)</f>
        <v>Does any part of this service/project involve a web/app tracking component (e.g., use of web-tracking pixels, cookies)?</v>
      </c>
      <c r="C73" s="45" t="str">
        <f>VLOOKUP($A73,Privacy!$A$13:$E$97,3,0)&amp;""</f>
        <v>No</v>
      </c>
      <c r="D73" s="34" t="str">
        <f>IF(LEFT(VLOOKUP($A73,Privacy!$A$13:$E$97,5,0),21)='Auto Responses'!$A$32,'Auto Responses'!$A$33,VLOOKUP($A73,Privacy!$A$13:$E$97,4,0))&amp;""</f>
        <v>Cursive does not employ web tracking pixels, third-party analytics tracking, marketing pixels, or behavioral advertising cookies. Strictly necessary cookies/session storage may be used for product functionality (e.g., maintaining user session within the browser extension) but no third-party tracking, advertising, or cross-site behavioral profiling is performed. The Privacy Policy describes cookie use.</v>
      </c>
      <c r="E73" s="330" t="str">
        <f>VLOOKUP($A73,Privacy!$A$13:$E$97,5,0)&amp;""</f>
        <v>Web tracking can be used to identify users via their IP address, login information, browser information, etc.</v>
      </c>
      <c r="F73" s="188"/>
      <c r="G73" s="30" t="str">
        <f>VLOOKUP($A73,Questions!$A$2:$X$333,21,0)&amp;""</f>
        <v>No</v>
      </c>
      <c r="H73" s="185"/>
      <c r="I73" s="45" t="str">
        <f>VLOOKUP($A73,Questions!$A$2:$X$333,23,0)&amp;""</f>
        <v>Minor Importance</v>
      </c>
      <c r="J73" s="185"/>
      <c r="K73" s="48" t="b">
        <v>0</v>
      </c>
      <c r="L73" s="1"/>
    </row>
    <row r="74" spans="1:12" s="29" customFormat="1" ht="409.6" x14ac:dyDescent="0.25">
      <c r="A74" s="19" t="s">
        <v>721</v>
      </c>
      <c r="B74" s="18" t="str">
        <f>VLOOKUP($A74,Questions!$A$2:$X$333,2,0)</f>
        <v>Does your staff (or a third party) have access to institutional data (e.g., financial, PHI, or other sensitive information) through any means?</v>
      </c>
      <c r="C74" s="45" t="str">
        <f>VLOOKUP($A74,Privacy!$A$13:$E$97,3,0)&amp;""</f>
        <v>No</v>
      </c>
      <c r="D74" s="34" t="str">
        <f>IF(LEFT(VLOOKUP($A74,Privacy!$A$13:$E$97,5,0),21)='Auto Responses'!$A$32,'Auto Responses'!$A$33,VLOOKUP($A74,Privacy!$A$13:$E$97,4,0))&amp;""</f>
        <v>Cursive staff and subprocessors do not have standing access to institutional data. All access to AWS production environments is gated through IAM with least-privilege role scoping. Subprocessors (Brain-Station 23, AWS engineering contractor, Tech Worm LLC) have access to deploy code only and operate in non-production or staging environments by default; production data access is not part of their standing permission set. Cursive does not collect financial data, PHI, or health information. The opaque-UUID-only data inventory means even Cursive personnel with legitimate access cannot directly identify a specific student from the stored telemetry.</v>
      </c>
      <c r="E74" s="330" t="str">
        <f>VLOOKUP($A74,Privacy!$A$13:$E$97,5,0)&amp;""</f>
        <v>Accessing institutional data may be necessary for legitimate business purposes.</v>
      </c>
      <c r="F74" s="188"/>
      <c r="G74" s="30" t="str">
        <f>VLOOKUP($A74,Questions!$A$2:$X$333,21,0)&amp;""</f>
        <v>No</v>
      </c>
      <c r="H74" s="185"/>
      <c r="I74" s="45" t="str">
        <f>VLOOKUP($A74,Questions!$A$2:$X$333,23,0)&amp;""</f>
        <v>Minor Importance</v>
      </c>
      <c r="J74" s="185"/>
      <c r="K74" s="48" t="b">
        <v>0</v>
      </c>
      <c r="L74" s="1"/>
    </row>
    <row r="75" spans="1:12" s="29" customFormat="1" ht="405" x14ac:dyDescent="0.25">
      <c r="A75" s="19" t="s">
        <v>723</v>
      </c>
      <c r="B75" s="18" t="str">
        <f>VLOOKUP($A75,Questions!$A$2:$X$333,2,0)</f>
        <v>Will you handle personal data in a manner compliant with all relevant laws, regulations, and applicable institution policies?</v>
      </c>
      <c r="C75" s="45" t="str">
        <f>VLOOKUP($A75,Privacy!$A$13:$E$97,3,0)&amp;""</f>
        <v>Yes</v>
      </c>
      <c r="D75" s="34" t="str">
        <f>IF(LEFT(VLOOKUP($A75,Privacy!$A$13:$E$97,5,0),21)='Auto Responses'!$A$32,'Auto Responses'!$A$33,VLOOKUP($A75,Privacy!$A$13:$E$97,4,0))&amp;""</f>
        <v>Cursive will handle personal data in compliance with all applicable laws, regulations, and institutional policies as agreed in the master services agreement and any applicable Data Processing Agreement. This includes FERPA (when contracted as a school official), state breach notification laws, GDPR (for any future EU/UK engagements), PIPL (for the existing SISU engagement and any future PRC engagements; see INTL-05), and any institution-specific privacy policies incorporated into the contract.</v>
      </c>
      <c r="E75" s="330" t="str">
        <f>VLOOKUP($A75,Privacy!$A$13:$E$97,5,0)&amp;""</f>
        <v/>
      </c>
      <c r="F75" s="188"/>
      <c r="G75" s="30" t="str">
        <f>VLOOKUP($A75,Questions!$A$2:$X$333,21,0)&amp;""</f>
        <v>Not scored</v>
      </c>
      <c r="H75" s="185"/>
      <c r="I75" s="45" t="str">
        <f>VLOOKUP($A75,Questions!$A$2:$X$333,23,0)&amp;""</f>
        <v/>
      </c>
      <c r="J75" s="185"/>
      <c r="K75" s="48" t="b">
        <v>0</v>
      </c>
      <c r="L75" s="1"/>
    </row>
    <row r="76" spans="1:12" s="1" customFormat="1" ht="17.399999999999999" x14ac:dyDescent="0.25">
      <c r="A76" s="63" t="str">
        <f>VLOOKUP(LEFT($A77,4),'Auto Responses'!$N$4:$O$38,2,0)&amp;""</f>
        <v xml:space="preserve"> Privacy Policies and Procedures</v>
      </c>
      <c r="B76" s="22"/>
      <c r="C76" s="31"/>
      <c r="D76" s="31"/>
      <c r="E76" s="331"/>
      <c r="F76" s="132" t="s">
        <v>1030</v>
      </c>
      <c r="G76" s="335" t="s">
        <v>869</v>
      </c>
      <c r="H76" s="335" t="s">
        <v>871</v>
      </c>
      <c r="I76" s="335" t="s">
        <v>19</v>
      </c>
      <c r="J76" s="335" t="s">
        <v>856</v>
      </c>
      <c r="K76" s="31"/>
    </row>
    <row r="77" spans="1:12" s="29" customFormat="1" ht="409.6" x14ac:dyDescent="0.25">
      <c r="A77" s="19" t="s">
        <v>724</v>
      </c>
      <c r="B77" s="18" t="str">
        <f>VLOOKUP($A77,Questions!$A$2:$X$333,2,0)</f>
        <v>Do you have a documented privacy management process?</v>
      </c>
      <c r="C77" s="45" t="str">
        <f>VLOOKUP($A77,Privacy!$A$13:$E$97,3,0)&amp;""</f>
        <v>Yes</v>
      </c>
      <c r="D77" s="34" t="str">
        <f>IF(LEFT(VLOOKUP($A77,Privacy!$A$13:$E$97,5,0),21)='Auto Responses'!$A$32,'Auto Responses'!$A$33,VLOOKUP($A77,Privacy!$A$13:$E$97,4,0))&amp;""</f>
        <v>Cursive maintains a documented privacy management process within its Information Security Policies and Procedures and the public-facing Privacy Policy at https://cursivetechnology.com/privacy-policy/. The process covers data minimization (only writing canvas activity, pastes, final text, keystroke timing, and an opaque LMS-issued UUID are collected; no name, email, or grade data), default de-identification, local-first storage (data resides on the client LMS or in browser local storage), transient server-side processing (raw keystroke data deleted after processing; only the processed authorship payload retained), subject access and deletion workflows (Moodle data request flow for institutions; uninstall/delete-history for browser extension users), and contractual governance of any data use beyond the agreed service. Privacy controls are reviewed annually per the Cursive Compliance Policy and Procedure Review Calendar. The Founder/CEO serves as the named privacy point of contact.</v>
      </c>
      <c r="E77" s="330" t="str">
        <f>VLOOKUP($A77,Privacy!$A$13:$E$97,5,0)&amp;""</f>
        <v>Describe privacy management process or provide links or attach documentation.</v>
      </c>
      <c r="F77" s="188"/>
      <c r="G77" s="30" t="str">
        <f>VLOOKUP($A77,Questions!$A$2:$X$333,21,0)&amp;""</f>
        <v>Yes</v>
      </c>
      <c r="H77" s="185"/>
      <c r="I77" s="45" t="str">
        <f>VLOOKUP($A77,Questions!$A$2:$X$333,23,0)&amp;""</f>
        <v>Minor Importance</v>
      </c>
      <c r="J77" s="185"/>
      <c r="K77" s="48" t="b">
        <v>0</v>
      </c>
      <c r="L77" s="1"/>
    </row>
    <row r="78" spans="1:12" s="29" customFormat="1" ht="409.6" x14ac:dyDescent="0.25">
      <c r="A78" s="19" t="s">
        <v>727</v>
      </c>
      <c r="B78" s="18" t="str">
        <f>VLOOKUP($A78,Questions!$A$2:$X$333,2,0)</f>
        <v>Are privacy principles designed into the product lifecycle (i.e., privacy-by-design)?</v>
      </c>
      <c r="C78" s="45" t="str">
        <f>VLOOKUP($A78,Privacy!$A$13:$E$97,3,0)&amp;""</f>
        <v>Yes</v>
      </c>
      <c r="D78" s="34" t="str">
        <f>IF(LEFT(VLOOKUP($A78,Privacy!$A$13:$E$97,5,0),21)='Auto Responses'!$A$32,'Auto Responses'!$A$33,VLOOKUP($A78,Privacy!$A$13:$E$97,4,0))&amp;""</f>
        <v>Privacy-by-design is foundational to TypeID. Architectural decisions reflect this: institutional data is stored locally on the client LMS or in browser local storage rather than in Cursive systems; server-side processing is transient (raw keystroke data deleted after authorship-payload generation); collection is minimized to the elements directly required for authorship verification (no name, email, or grade data); data is de-identified by default; and contractual opt-out is the default state for any model-training use of customer data. Privacy review is part of the SDLC change-management process per Cursive Policies and Procedures.</v>
      </c>
      <c r="E78" s="330" t="str">
        <f>VLOOKUP($A78,Privacy!$A$13:$E$97,5,0)&amp;""</f>
        <v>Summarize the privacy principles designed into the product lifecycle.</v>
      </c>
      <c r="F78" s="188"/>
      <c r="G78" s="30" t="str">
        <f>VLOOKUP($A78,Questions!$A$2:$X$333,21,0)&amp;""</f>
        <v>Yes</v>
      </c>
      <c r="H78" s="185"/>
      <c r="I78" s="45" t="str">
        <f>VLOOKUP($A78,Questions!$A$2:$X$333,23,0)&amp;""</f>
        <v>Minor Importance</v>
      </c>
      <c r="J78" s="185"/>
      <c r="K78" s="48" t="b">
        <v>0</v>
      </c>
      <c r="L78" s="1"/>
    </row>
    <row r="79" spans="1:12" s="29" customFormat="1" ht="372.6" x14ac:dyDescent="0.25">
      <c r="A79" s="19" t="s">
        <v>730</v>
      </c>
      <c r="B79" s="18" t="str">
        <f>VLOOKUP($A79,Questions!$A$2:$X$333,2,0)</f>
        <v>Will you comply with applicable breach notification laws?</v>
      </c>
      <c r="C79" s="45" t="str">
        <f>VLOOKUP($A79,Privacy!$A$13:$E$97,3,0)&amp;""</f>
        <v>Yes</v>
      </c>
      <c r="D79" s="34" t="str">
        <f>IF(LEFT(VLOOKUP($A79,Privacy!$A$13:$E$97,5,0),21)='Auto Responses'!$A$32,'Auto Responses'!$A$33,VLOOKUP($A79,Privacy!$A$13:$E$97,4,0))&amp;""</f>
        <v>Cursive will comply with applicable breach notification laws including state breach notification statutes (e.g., MD PIPA), FERPA breach notification expectations for institutional customers, and GDPR Article 33/34 obligations as applicable. The Incident Response Plan in Cursive Policies and Procedures specifies notification within 24 hours of confirmed breach to affected institutional customers, with downstream end-user notification coordinated with the institution.</v>
      </c>
      <c r="E79" s="330" t="str">
        <f>VLOOKUP($A79,Privacy!$A$13:$E$97,5,0)&amp;""</f>
        <v>State how quickly the institution will be notified once a breach is identified, in addition to notifying the necessary governmental agencies based on the extent of the breach.</v>
      </c>
      <c r="F79" s="188"/>
      <c r="G79" s="30" t="str">
        <f>VLOOKUP($A79,Questions!$A$2:$X$333,21,0)&amp;""</f>
        <v>Yes</v>
      </c>
      <c r="H79" s="185"/>
      <c r="I79" s="45" t="str">
        <f>VLOOKUP($A79,Questions!$A$2:$X$333,23,0)&amp;""</f>
        <v>Standard Importance</v>
      </c>
      <c r="J79" s="185"/>
      <c r="K79" s="48" t="b">
        <v>0</v>
      </c>
      <c r="L79" s="1"/>
    </row>
    <row r="80" spans="1:12" s="29" customFormat="1" ht="194.4" x14ac:dyDescent="0.25">
      <c r="A80" s="19" t="s">
        <v>732</v>
      </c>
      <c r="B80" s="18" t="str">
        <f>VLOOKUP($A80,Questions!$A$2:$X$333,2,0)</f>
        <v>Will you comply with the institution's policies regarding user privacy and data protection?</v>
      </c>
      <c r="C80" s="45" t="str">
        <f>VLOOKUP($A80,Privacy!$A$13:$E$97,3,0)&amp;""</f>
        <v>Yes</v>
      </c>
      <c r="D80" s="34" t="str">
        <f>IF(LEFT(VLOOKUP($A80,Privacy!$A$13:$E$97,5,0),21)='Auto Responses'!$A$32,'Auto Responses'!$A$33,VLOOKUP($A80,Privacy!$A$13:$E$97,4,0))&amp;""</f>
        <v>Cursive will comply with the institution's documented privacy and data protection policies as agreed in the master services agreement / DPA. Institution-specific privacy requirements can be incorporated through contract addenda.</v>
      </c>
      <c r="E80" s="330" t="str">
        <f>VLOOKUP($A80,Privacy!$A$13:$E$97,5,0)&amp;""</f>
        <v/>
      </c>
      <c r="F80" s="188"/>
      <c r="G80" s="30" t="str">
        <f>VLOOKUP($A80,Questions!$A$2:$X$333,21,0)&amp;""</f>
        <v>Yes</v>
      </c>
      <c r="H80" s="185"/>
      <c r="I80" s="45" t="str">
        <f>VLOOKUP($A80,Questions!$A$2:$X$333,23,0)&amp;""</f>
        <v>Minor Importance</v>
      </c>
      <c r="J80" s="185"/>
      <c r="K80" s="48" t="b">
        <v>0</v>
      </c>
      <c r="L80" s="1"/>
    </row>
    <row r="81" spans="1:12" s="29" customFormat="1" ht="275.39999999999998" x14ac:dyDescent="0.25">
      <c r="A81" s="19" t="s">
        <v>734</v>
      </c>
      <c r="B81" s="18" t="str">
        <f>VLOOKUP($A81,Questions!$A$2:$X$333,2,0)</f>
        <v>Is your company subject to the laws and regulations of the institution's geographic region?</v>
      </c>
      <c r="C81" s="45" t="str">
        <f>VLOOKUP($A81,Privacy!$A$13:$E$97,3,0)&amp;""</f>
        <v>Yes</v>
      </c>
      <c r="D81" s="34" t="str">
        <f>IF(LEFT(VLOOKUP($A81,Privacy!$A$13:$E$97,5,0),21)='Auto Responses'!$A$32,'Auto Responses'!$A$33,VLOOKUP($A81,Privacy!$A$13:$E$97,4,0))&amp;""</f>
        <v>Cursive is incorporated in Maryland, USA, and is subject to applicable US federal and state law (including FERPA when contracted as a school official, COPPA where applicable, and state privacy laws). For institutional customers in other jurisdictions, Cursive will additionally comply with applicable local laws and regulations through contractual commitment.</v>
      </c>
      <c r="E81" s="330" t="str">
        <f>VLOOKUP($A81,Privacy!$A$13:$E$97,5,0)&amp;""</f>
        <v/>
      </c>
      <c r="F81" s="188"/>
      <c r="G81" s="30" t="str">
        <f>VLOOKUP($A81,Questions!$A$2:$X$333,21,0)&amp;""</f>
        <v>Yes</v>
      </c>
      <c r="H81" s="185"/>
      <c r="I81" s="45" t="str">
        <f>VLOOKUP($A81,Questions!$A$2:$X$333,23,0)&amp;""</f>
        <v>Minor Importance</v>
      </c>
      <c r="J81" s="185"/>
      <c r="K81" s="48" t="b">
        <v>0</v>
      </c>
      <c r="L81" s="1"/>
    </row>
    <row r="82" spans="1:12" s="29" customFormat="1" ht="340.2" x14ac:dyDescent="0.25">
      <c r="A82" s="19" t="s">
        <v>736</v>
      </c>
      <c r="B82" s="18" t="str">
        <f>VLOOKUP($A82,Questions!$A$2:$X$333,2,0)</f>
        <v>Do you have a privacy awareness/training program?*</v>
      </c>
      <c r="C82" s="45" t="str">
        <f>VLOOKUP($A82,Privacy!$A$13:$E$97,3,0)&amp;""</f>
        <v>Yes</v>
      </c>
      <c r="D82" s="34" t="str">
        <f>IF(LEFT(VLOOKUP($A82,Privacy!$A$13:$E$97,5,0),21)='Auto Responses'!$A$32,'Auto Responses'!$A$33,VLOOKUP($A82,Privacy!$A$13:$E$97,4,0))&amp;""</f>
        <v>All Cursive employees complete the US Department of Education's "FERPA 201: Data Sharing under FERPA" training during onboarding. Annual privacy and security awareness training is delivered through KnowBe4, which provides audit logs of completion. Privacy posture is also reinforced through review of the Cursive Employee Handbook and Information Security Policies during orientation and annually thereafter.</v>
      </c>
      <c r="E82" s="330" t="str">
        <f>VLOOKUP($A82,Privacy!$A$13:$E$97,5,0)&amp;""</f>
        <v>Briefly describe what is included in the training.</v>
      </c>
      <c r="F82" s="188"/>
      <c r="G82" s="30" t="str">
        <f>VLOOKUP($A82,Questions!$A$2:$X$333,21,0)&amp;""</f>
        <v>Yes</v>
      </c>
      <c r="H82" s="185"/>
      <c r="I82" s="45" t="str">
        <f>VLOOKUP($A82,Questions!$A$2:$X$333,23,0)&amp;""</f>
        <v>Critical Importance</v>
      </c>
      <c r="J82" s="185"/>
      <c r="K82" s="48" t="b">
        <v>0</v>
      </c>
      <c r="L82" s="1"/>
    </row>
    <row r="83" spans="1:12" s="29" customFormat="1" ht="194.4" x14ac:dyDescent="0.25">
      <c r="A83" s="19" t="s">
        <v>737</v>
      </c>
      <c r="B83" s="18" t="str">
        <f>VLOOKUP($A83,Questions!$A$2:$X$333,2,0)</f>
        <v>Is privacy awareness training mandatory for all employees?</v>
      </c>
      <c r="C83" s="45" t="str">
        <f>VLOOKUP($A83,Privacy!$A$13:$E$97,3,0)&amp;""</f>
        <v>Yes</v>
      </c>
      <c r="D83" s="34" t="str">
        <f>IF(LEFT(VLOOKUP($A83,Privacy!$A$13:$E$97,5,0),21)='Auto Responses'!$A$32,'Auto Responses'!$A$33,VLOOKUP($A83,Privacy!$A$13:$E$97,4,0))&amp;""</f>
        <v>Privacy awareness training (FERPA 201 + KnowBe4 modules) is mandatory for all employees and contractors with access to institutional data or systems. Completion is audited annually per the Cursive Compliance Policy and Procedure Review Calendar.</v>
      </c>
      <c r="E83" s="330" t="str">
        <f>VLOOKUP($A83,Privacy!$A$13:$E$97,5,0)&amp;""</f>
        <v>Your response should include who must complete the training.</v>
      </c>
      <c r="F83" s="188"/>
      <c r="G83" s="30" t="str">
        <f>VLOOKUP($A83,Questions!$A$2:$X$333,21,0)&amp;""</f>
        <v>Yes</v>
      </c>
      <c r="H83" s="185"/>
      <c r="I83" s="45" t="str">
        <f>VLOOKUP($A83,Questions!$A$2:$X$333,23,0)&amp;""</f>
        <v>Minor Importance</v>
      </c>
      <c r="J83" s="185"/>
      <c r="K83" s="48" t="b">
        <v>0</v>
      </c>
      <c r="L83" s="1"/>
    </row>
    <row r="84" spans="1:12" s="29" customFormat="1" ht="409.6" x14ac:dyDescent="0.25">
      <c r="A84" s="19" t="s">
        <v>740</v>
      </c>
      <c r="B84" s="18" t="str">
        <f>VLOOKUP($A84,Questions!$A$2:$X$333,2,0)</f>
        <v>Is AI privacy and ethics awareness/training required for all employees who work with AI?</v>
      </c>
      <c r="C84" s="45" t="str">
        <f>VLOOKUP($A84,Privacy!$A$13:$E$97,3,0)&amp;""</f>
        <v>Yes</v>
      </c>
      <c r="D84" s="34" t="str">
        <f>IF(LEFT(VLOOKUP($A84,Privacy!$A$13:$E$97,5,0),21)='Auto Responses'!$A$32,'Auto Responses'!$A$33,VLOOKUP($A84,Privacy!$A$13:$E$97,4,0))&amp;""</f>
        <v xml:space="preserve">AI privacy and ethics considerations are incorporated into employee training for staff working with the Keyread and Copy-behavior models. Topics include data minimization, transparency in Cursive deployment, "verified" vs "verifying" output framing, and the requirement that authorship determinations always involve a human (instructor) in the loop. AI-specific training and policies are implemented to safe guard our own documentation and code with specific "opt-out" configurations where applicable. </v>
      </c>
      <c r="E84" s="330" t="str">
        <f>VLOOKUP($A84,Privacy!$A$13:$E$97,5,0)&amp;""</f>
        <v>Briefly describe what is included in the training.</v>
      </c>
      <c r="F84" s="188"/>
      <c r="G84" s="30" t="str">
        <f>VLOOKUP($A84,Questions!$A$2:$X$333,21,0)&amp;""</f>
        <v>Yes</v>
      </c>
      <c r="H84" s="185"/>
      <c r="I84" s="45" t="str">
        <f>VLOOKUP($A84,Questions!$A$2:$X$333,23,0)&amp;""</f>
        <v>Minor Importance</v>
      </c>
      <c r="J84" s="185"/>
      <c r="K84" s="48" t="b">
        <v>0</v>
      </c>
      <c r="L84" s="1"/>
    </row>
    <row r="85" spans="1:12" s="29" customFormat="1" ht="243" x14ac:dyDescent="0.25">
      <c r="A85" s="19" t="s">
        <v>743</v>
      </c>
      <c r="B85" s="18" t="str">
        <f>VLOOKUP($A85,Questions!$A$2:$X$333,2,0)</f>
        <v>Do you have any decision-making processes that are completely automated (i.e., there is no human involvement)?</v>
      </c>
      <c r="C85" s="45" t="str">
        <f>VLOOKUP($A85,Privacy!$A$13:$E$97,3,0)&amp;""</f>
        <v>No</v>
      </c>
      <c r="D85" s="34" t="str">
        <f>IF(LEFT(VLOOKUP($A85,Privacy!$A$13:$E$97,5,0),21)='Auto Responses'!$A$32,'Auto Responses'!$A$33,VLOOKUP($A85,Privacy!$A$13:$E$97,4,0))&amp;""</f>
        <v xml:space="preserve">All authorship determinations are surfaced to a human (the instructor) for review and action. The model produces a binary "Verified" or "Verifying" output; no automated grading, disciplinary action, account flagging, or other consequence is applied to the end user without instructor or institutional review. </v>
      </c>
      <c r="E85" s="330" t="str">
        <f>VLOOKUP($A85,Privacy!$A$13:$E$97,5,0)&amp;""</f>
        <v>Examples of such automated decisions could include automatically denying or approving user access requests, flagging or blocking transactions based on risk scores, or AI-driven decisions that affect user outcomes (e.g., eligibility, grading, pricing).</v>
      </c>
      <c r="F85" s="188"/>
      <c r="G85" s="30" t="str">
        <f>VLOOKUP($A85,Questions!$A$2:$X$333,21,0)&amp;""</f>
        <v>No</v>
      </c>
      <c r="H85" s="185"/>
      <c r="I85" s="45" t="str">
        <f>VLOOKUP($A85,Questions!$A$2:$X$333,23,0)&amp;""</f>
        <v>Minor Importance</v>
      </c>
      <c r="J85" s="185"/>
      <c r="K85" s="48" t="b">
        <v>0</v>
      </c>
      <c r="L85" s="1"/>
    </row>
    <row r="86" spans="1:12" s="29" customFormat="1" ht="409.6" x14ac:dyDescent="0.25">
      <c r="A86" s="19" t="s">
        <v>744</v>
      </c>
      <c r="B86" s="18" t="str">
        <f>VLOOKUP($A86,Questions!$A$2:$X$333,2,0)</f>
        <v>Do you have a documented process for managing automated processing, including validations, monitoring, and data subject requests?</v>
      </c>
      <c r="C86" s="45" t="str">
        <f>VLOOKUP($A86,Privacy!$A$13:$E$97,3,0)&amp;""</f>
        <v>Yes</v>
      </c>
      <c r="D86" s="34" t="str">
        <f>IF(LEFT(VLOOKUP($A86,Privacy!$A$13:$E$97,5,0),21)='Auto Responses'!$A$32,'Auto Responses'!$A$33,VLOOKUP($A86,Privacy!$A$13:$E$97,4,0))&amp;""</f>
        <v>While processing is automated for ease of use, Cursive does not employ fully automated decision-making processes that act on end users without human review (see above). Where automation supports the workflow (e.g., model inference producing the Verified/Verifying label), the output is surfaced to the instructor for review and action rather than driving an automated outcome. Data subject requests are handled through the institution's standard Moodle data request workflow and through the browser extension's user-controlled deletion features.</v>
      </c>
      <c r="E86" s="330" t="str">
        <f>VLOOKUP($A86,Privacy!$A$13:$E$97,5,0)&amp;""</f>
        <v>Briefly describe processes.</v>
      </c>
      <c r="F86" s="188"/>
      <c r="G86" s="30" t="str">
        <f>VLOOKUP($A86,Questions!$A$2:$X$333,21,0)&amp;""</f>
        <v>Yes</v>
      </c>
      <c r="H86" s="185"/>
      <c r="I86" s="45" t="str">
        <f>VLOOKUP($A86,Questions!$A$2:$X$333,23,0)&amp;""</f>
        <v>Minor Importance</v>
      </c>
      <c r="J86" s="185"/>
      <c r="K86" s="48" t="b">
        <v>0</v>
      </c>
      <c r="L86" s="1"/>
    </row>
    <row r="87" spans="1:12" s="29" customFormat="1" ht="388.8" x14ac:dyDescent="0.25">
      <c r="A87" s="19" t="s">
        <v>746</v>
      </c>
      <c r="B87" s="18" t="str">
        <f>VLOOKUP($A87,Questions!$A$2:$X$333,2,0)</f>
        <v>Do you have a documented policy for sharing information with law enforcement?</v>
      </c>
      <c r="C87" s="45" t="str">
        <f>VLOOKUP($A87,Privacy!$A$13:$E$97,3,0)&amp;""</f>
        <v>No</v>
      </c>
      <c r="D87" s="34" t="str">
        <f>IF(LEFT(VLOOKUP($A87,Privacy!$A$13:$E$97,5,0),21)='Auto Responses'!$A$32,'Auto Responses'!$A$33,VLOOKUP($A87,Privacy!$A$13:$E$97,4,0))&amp;""</f>
        <v>Cursive does not yet maintain a standalone documented policy for sharing information with law enforcement. In practice, any law-enforcement request would be reviewed by the Founder/CEO with legal counsel, and Cursive's default position is to require a valid legal process (warrant, subpoena, or court order) before disclosing institutional data, with notification to the affected institutional customer where legally permitted. Formalizing this position into a standalone policy is on the privacy roadmap.</v>
      </c>
      <c r="E87" s="330" t="str">
        <f>VLOOKUP($A87,Privacy!$A$13:$E$97,5,0)&amp;""</f>
        <v>Explain any plans to develop a policy. If no plans exist, explain why not.</v>
      </c>
      <c r="F87" s="188"/>
      <c r="G87" s="30" t="str">
        <f>VLOOKUP($A87,Questions!$A$2:$X$333,21,0)&amp;""</f>
        <v>Yes</v>
      </c>
      <c r="H87" s="185"/>
      <c r="I87" s="45" t="str">
        <f>VLOOKUP($A87,Questions!$A$2:$X$333,23,0)&amp;""</f>
        <v>Minor Importance</v>
      </c>
      <c r="J87" s="185"/>
      <c r="K87" s="48" t="b">
        <v>0</v>
      </c>
      <c r="L87" s="1"/>
    </row>
    <row r="88" spans="1:12" s="29" customFormat="1" ht="194.4" x14ac:dyDescent="0.25">
      <c r="A88" s="19" t="s">
        <v>749</v>
      </c>
      <c r="B88" s="18" t="str">
        <f>VLOOKUP($A88,Questions!$A$2:$X$333,2,0)</f>
        <v>Do you share any institutional data with law enforcement without a valid warrant or subpoena?*</v>
      </c>
      <c r="C88" s="45" t="str">
        <f>VLOOKUP($A88,Privacy!$A$13:$E$97,3,0)&amp;""</f>
        <v>No</v>
      </c>
      <c r="D88" s="34" t="str">
        <f>IF(LEFT(VLOOKUP($A88,Privacy!$A$13:$E$97,5,0),21)='Auto Responses'!$A$32,'Auto Responses'!$A$33,VLOOKUP($A88,Privacy!$A$13:$E$97,4,0))&amp;""</f>
        <v>Cursive does not share institutional data with law enforcement absent a valid warrant, subpoena, or other legally compelled process. Where legally permitted, Cursive will notify the affected institutional customer of any compelled disclosure.</v>
      </c>
      <c r="E88" s="330" t="str">
        <f>VLOOKUP($A88,Privacy!$A$13:$E$97,5,0)&amp;""</f>
        <v>Describe how you ensure this does not occur.</v>
      </c>
      <c r="F88" s="188"/>
      <c r="G88" s="30" t="str">
        <f>VLOOKUP($A88,Questions!$A$2:$X$333,21,0)&amp;""</f>
        <v>No</v>
      </c>
      <c r="H88" s="185"/>
      <c r="I88" s="45" t="str">
        <f>VLOOKUP($A88,Questions!$A$2:$X$333,23,0)&amp;""</f>
        <v>Critical Importance</v>
      </c>
      <c r="J88" s="185"/>
      <c r="K88" s="48" t="b">
        <v>0</v>
      </c>
      <c r="L88" s="1"/>
    </row>
    <row r="89" spans="1:12" s="29" customFormat="1" ht="259.2" x14ac:dyDescent="0.25">
      <c r="A89" s="19" t="s">
        <v>750</v>
      </c>
      <c r="B89" s="18" t="str">
        <f>VLOOKUP($A89,Questions!$A$2:$X$333,2,0)</f>
        <v>Does your incident response team include a privacy analyst/officer?</v>
      </c>
      <c r="C89" s="45" t="str">
        <f>VLOOKUP($A89,Privacy!$A$13:$E$97,3,0)&amp;""</f>
        <v>No</v>
      </c>
      <c r="D89" s="34" t="str">
        <f>IF(LEFT(VLOOKUP($A89,Privacy!$A$13:$E$97,5,0),21)='Auto Responses'!$A$32,'Auto Responses'!$A$33,VLOOKUP($A89,Privacy!$A$13:$E$97,4,0))&amp;""</f>
        <v xml:space="preserve">The Cursive incident response team currently consists of the Founder/CEO (who also serves as named Information Security Officer and privacy point of contact). A dedicated standalone privacy analyst/officer role is not maintained given current company size. As we scale/grow, we'll consider dedicated roles to each domain as necessary. </v>
      </c>
      <c r="E89" s="330" t="str">
        <f>VLOOKUP($A89,Privacy!$A$13:$E$97,5,0)&amp;""</f>
        <v>Explain why not</v>
      </c>
      <c r="F89" s="188"/>
      <c r="G89" s="30" t="str">
        <f>VLOOKUP($A89,Questions!$A$2:$X$333,21,0)&amp;""</f>
        <v>Yes</v>
      </c>
      <c r="H89" s="185"/>
      <c r="I89" s="45" t="str">
        <f>VLOOKUP($A89,Questions!$A$2:$X$333,23,0)&amp;""</f>
        <v>Minor Importance</v>
      </c>
      <c r="J89" s="185"/>
      <c r="K89" s="48" t="b">
        <v>0</v>
      </c>
      <c r="L89" s="1"/>
    </row>
    <row r="90" spans="1:12" s="1" customFormat="1" ht="17.399999999999999" x14ac:dyDescent="0.25">
      <c r="A90" s="63" t="str">
        <f>VLOOKUP(LEFT($A91,4),'Auto Responses'!$N$4:$O$38,2,0)&amp;""</f>
        <v xml:space="preserve"> International Privacy</v>
      </c>
      <c r="B90" s="22"/>
      <c r="C90" s="31"/>
      <c r="D90" s="31"/>
      <c r="E90" s="331"/>
      <c r="F90" s="132" t="s">
        <v>1030</v>
      </c>
      <c r="G90" s="335" t="s">
        <v>869</v>
      </c>
      <c r="H90" s="335" t="s">
        <v>871</v>
      </c>
      <c r="I90" s="335" t="s">
        <v>19</v>
      </c>
      <c r="J90" s="335" t="s">
        <v>856</v>
      </c>
      <c r="K90" s="31"/>
    </row>
    <row r="91" spans="1:12" s="29" customFormat="1" ht="113.4" x14ac:dyDescent="0.25">
      <c r="A91" s="19" t="s">
        <v>752</v>
      </c>
      <c r="B91" s="18" t="str">
        <f>VLOOKUP($A91,Questions!$A$2:$X$333,2,0)</f>
        <v>Will data be collected from or processed in or stored in the European Economic Area (EEA)?</v>
      </c>
      <c r="C91" s="45" t="str">
        <f>VLOOKUP($A91,Privacy!$A$13:$E$97,3,0)&amp;""</f>
        <v>No</v>
      </c>
      <c r="D91" s="34" t="str">
        <f>IF(LEFT(VLOOKUP($A91,Privacy!$A$13:$E$97,5,0),21)='Auto Responses'!$A$32,'Auto Responses'!$A$33,VLOOKUP($A91,Privacy!$A$13:$E$97,4,0))&amp;""</f>
        <v>No EU/UK customers at this time. GDPR posture and EU representative will be established prior to first EU/UK customer engagement.</v>
      </c>
      <c r="E91" s="330" t="str">
        <f>VLOOKUP($A91,Privacy!$A$13:$E$97,5,0)&amp;""</f>
        <v/>
      </c>
      <c r="F91" s="188"/>
      <c r="G91" s="30" t="str">
        <f>VLOOKUP($A91,Questions!$A$2:$X$333,21,0)&amp;""</f>
        <v>No</v>
      </c>
      <c r="H91" s="185"/>
      <c r="I91" s="45" t="str">
        <f>VLOOKUP($A91,Questions!$A$2:$X$333,23,0)&amp;""</f>
        <v>Standard Importance</v>
      </c>
      <c r="J91" s="185"/>
      <c r="K91" s="48" t="b">
        <v>0</v>
      </c>
      <c r="L91" s="1"/>
    </row>
    <row r="92" spans="1:12" s="29" customFormat="1" ht="113.4" x14ac:dyDescent="0.25">
      <c r="A92" s="19" t="s">
        <v>755</v>
      </c>
      <c r="B92" s="18" t="str">
        <f>VLOOKUP($A92,Questions!$A$2:$X$333,2,0)</f>
        <v>Do you have a data protection officer (DPO)?</v>
      </c>
      <c r="C92" s="45" t="str">
        <f>VLOOKUP($A92,Privacy!$A$13:$E$97,3,0)&amp;""</f>
        <v>No</v>
      </c>
      <c r="D92" s="34" t="str">
        <f>IF(LEFT(VLOOKUP($A92,Privacy!$A$13:$E$97,5,0),21)='Auto Responses'!$A$32,'Auto Responses'!$A$33,VLOOKUP($A92,Privacy!$A$13:$E$97,4,0))&amp;""</f>
        <v>No EU/UK customers at this time. GDPR posture and EU representative will be established prior to first EU/UK customer engagement.</v>
      </c>
      <c r="E92" s="330" t="str">
        <f>VLOOKUP($A92,Privacy!$A$13:$E$97,5,0)&amp;""</f>
        <v>Explain why not</v>
      </c>
      <c r="F92" s="188"/>
      <c r="G92" s="30" t="str">
        <f>VLOOKUP($A92,Questions!$A$2:$X$333,21,0)&amp;""</f>
        <v>Yes</v>
      </c>
      <c r="H92" s="185"/>
      <c r="I92" s="45" t="str">
        <f>VLOOKUP($A92,Questions!$A$2:$X$333,23,0)&amp;""</f>
        <v>Standard Importance</v>
      </c>
      <c r="J92" s="185"/>
      <c r="K92" s="48" t="b">
        <v>0</v>
      </c>
      <c r="L92" s="1"/>
    </row>
    <row r="93" spans="1:12" s="29" customFormat="1" ht="113.4" x14ac:dyDescent="0.25">
      <c r="A93" s="19" t="s">
        <v>757</v>
      </c>
      <c r="B93" s="18" t="str">
        <f>VLOOKUP($A93,Questions!$A$2:$X$333,2,0)</f>
        <v>Will you sign appropriate GDPR Standard Contractual Clauses (SCCs) with the institution?</v>
      </c>
      <c r="C93" s="45" t="str">
        <f>VLOOKUP($A93,Privacy!$A$13:$E$97,3,0)&amp;""</f>
        <v>Yes</v>
      </c>
      <c r="D93" s="34" t="str">
        <f>IF(LEFT(VLOOKUP($A93,Privacy!$A$13:$E$97,5,0),21)='Auto Responses'!$A$32,'Auto Responses'!$A$33,VLOOKUP($A93,Privacy!$A$13:$E$97,4,0))&amp;""</f>
        <v>No EU/UK customers at this time. GDPR posture and EU representative will be established prior to first EU/UK customer engagement.</v>
      </c>
      <c r="E93" s="330" t="str">
        <f>VLOOKUP($A93,Privacy!$A$13:$E$97,5,0)&amp;""</f>
        <v/>
      </c>
      <c r="F93" s="188"/>
      <c r="G93" s="30" t="str">
        <f>VLOOKUP($A93,Questions!$A$2:$X$333,21,0)&amp;""</f>
        <v>Yes</v>
      </c>
      <c r="H93" s="185"/>
      <c r="I93" s="45" t="str">
        <f>VLOOKUP($A93,Questions!$A$2:$X$333,23,0)&amp;""</f>
        <v>Standard Importance</v>
      </c>
      <c r="J93" s="185"/>
      <c r="K93" s="48" t="b">
        <v>0</v>
      </c>
      <c r="L93" s="1"/>
    </row>
    <row r="94" spans="1:12" s="29" customFormat="1" ht="97.2" x14ac:dyDescent="0.25">
      <c r="A94" s="19" t="s">
        <v>759</v>
      </c>
      <c r="B94" s="18" t="str">
        <f>VLOOKUP($A94,Questions!$A$2:$X$333,2,0)</f>
        <v>Will data be collected from or processed in or stored in China?</v>
      </c>
      <c r="C94" s="45" t="str">
        <f>VLOOKUP($A94,Privacy!$A$13:$E$97,3,0)&amp;""</f>
        <v>Yes</v>
      </c>
      <c r="D94" s="34" t="str">
        <f>IF(LEFT(VLOOKUP($A94,Privacy!$A$13:$E$97,5,0),21)='Auto Responses'!$A$32,'Auto Responses'!$A$33,VLOOKUP($A94,Privacy!$A$13:$E$97,4,0))&amp;""</f>
        <v xml:space="preserve">Clients may be located in China. Cursive does not maintain servers or data processing in mainland China or it's territories. </v>
      </c>
      <c r="E94" s="330" t="str">
        <f>VLOOKUP($A94,Privacy!$A$13:$E$97,5,0)&amp;""</f>
        <v>Describe where and what activities will take place in China.</v>
      </c>
      <c r="F94" s="188"/>
      <c r="G94" s="30" t="str">
        <f>VLOOKUP($A94,Questions!$A$2:$X$333,21,0)&amp;""</f>
        <v>No</v>
      </c>
      <c r="H94" s="185"/>
      <c r="I94" s="45" t="str">
        <f>VLOOKUP($A94,Questions!$A$2:$X$333,23,0)&amp;""</f>
        <v>Standard Importance</v>
      </c>
      <c r="J94" s="185"/>
      <c r="K94" s="48" t="b">
        <v>0</v>
      </c>
      <c r="L94" s="1"/>
    </row>
    <row r="95" spans="1:12" s="29" customFormat="1" ht="409.6" x14ac:dyDescent="0.25">
      <c r="A95" s="19" t="s">
        <v>762</v>
      </c>
      <c r="B95" s="18" t="str">
        <f>VLOOKUP($A95,Questions!$A$2:$X$333,2,0)</f>
        <v>Do you comply with PIPL security, privacy, and data localization requirements?</v>
      </c>
      <c r="C95" s="45" t="str">
        <f>VLOOKUP($A95,Privacy!$A$13:$E$97,3,0)&amp;""</f>
        <v>No</v>
      </c>
      <c r="D95" s="34" t="str">
        <f>IF(LEFT(VLOOKUP($A95,Privacy!$A$13:$E$97,5,0),21)='Auto Responses'!$A$32,'Auto Responses'!$A$33,VLOOKUP($A95,Privacy!$A$13:$E$97,4,0))&amp;""</f>
        <v>Cursive serves an institutional customer in Shanghai (Shanghai International Studies University). Data residency: institutional data continues to be hosted in AWS US-East-1 (N. Virginia); Cursive's architecture stores institutional data locally on the client's Moodle LMS or in the writer's browser local storage by default, with transient server-side processing on Cursive's API and retention only of the processed authorship payload. Collection is minimized to an opaque LMS-issued UUID and writing process telemetry; no name, email, or other directly identifying personal information is collected by Cursive. Cross-border data transfer to the United States and Cursive's role as overseas processor are addressed in the contractual agreement with the institution. Cursive acknowledges that PIPL data localization, cross-border transfer mechanism, and consent requirements may apply, and continues to evaluate compliance posture in coordination with the institutional customer. Cursive has not yet completed a formal PIPL compliance assessment or designated a PRC representative.</v>
      </c>
      <c r="E95" s="330" t="str">
        <f>VLOOKUP($A95,Privacy!$A$13:$E$97,5,0)&amp;""</f>
        <v>Explain why not</v>
      </c>
      <c r="F95" s="188"/>
      <c r="G95" s="30" t="str">
        <f>VLOOKUP($A95,Questions!$A$2:$X$333,21,0)&amp;""</f>
        <v>Yes</v>
      </c>
      <c r="H95" s="185"/>
      <c r="I95" s="45" t="str">
        <f>VLOOKUP($A95,Questions!$A$2:$X$333,23,0)&amp;""</f>
        <v>Standard Importance</v>
      </c>
      <c r="J95" s="185"/>
      <c r="K95" s="48" t="b">
        <v>0</v>
      </c>
      <c r="L95" s="1"/>
    </row>
    <row r="96" spans="1:12" s="1" customFormat="1" ht="17.399999999999999" x14ac:dyDescent="0.25">
      <c r="A96" s="63" t="str">
        <f>VLOOKUP(LEFT($A97,4),'Auto Responses'!$N$4:$O$38,2,0)&amp;""</f>
        <v xml:space="preserve"> Data Privacy</v>
      </c>
      <c r="B96" s="22"/>
      <c r="C96" s="31"/>
      <c r="D96" s="31"/>
      <c r="E96" s="331"/>
      <c r="F96" s="132" t="s">
        <v>1030</v>
      </c>
      <c r="G96" s="335" t="s">
        <v>869</v>
      </c>
      <c r="H96" s="335" t="s">
        <v>871</v>
      </c>
      <c r="I96" s="335" t="s">
        <v>19</v>
      </c>
      <c r="J96" s="335" t="s">
        <v>856</v>
      </c>
      <c r="K96" s="31"/>
    </row>
    <row r="97" spans="1:12" s="29" customFormat="1" ht="409.6" x14ac:dyDescent="0.25">
      <c r="A97" s="19" t="s">
        <v>1035</v>
      </c>
      <c r="B97" s="18" t="str">
        <f>VLOOKUP($A97,Questions!$A$2:$X$333,2,0)</f>
        <v>Have you performed a Data Privacy Impact Assessment for the solution/project?</v>
      </c>
      <c r="C97" s="45" t="str">
        <f>VLOOKUP($A97,Privacy!$A$13:$E$97,3,0)&amp;""</f>
        <v>No</v>
      </c>
      <c r="D97" s="34" t="str">
        <f>IF(LEFT(VLOOKUP($A97,Privacy!$A$13:$E$97,5,0),21)='Auto Responses'!$A$32,'Auto Responses'!$A$33,VLOOKUP($A97,Privacy!$A$13:$E$97,4,0))&amp;""</f>
        <v>Cursive has not yet conducted a formal Data Privacy Impact Assessment (DPIA) for TypeID. Privacy considerations are embedded in the product's architecture by design — data minimization (only an opaque LMS-issued UUID, writing canvas activity, pastes, final text, and keystroke timing collected; no name, email, or grade data), default de-identification, local-first storage on the client LMS or browser, transient server-side processing with deletion of raw keystroke data after authorship-payload generation, and contractual default-opt-out for any model-training use of customer data. Formalizing these design decisions into a documented DPIA is on the privacy roadmap and will be prioritized in advance of expanded EU/UK engagement and to support the existing Shanghai International Studies University engagement under PIPL (see INTL-05).</v>
      </c>
      <c r="E97" s="330" t="str">
        <f>VLOOKUP($A97,Privacy!$A$13:$E$97,5,0)&amp;""</f>
        <v>Provide timeline for this or reason not to perform.</v>
      </c>
      <c r="F97" s="188"/>
      <c r="G97" s="30" t="str">
        <f>VLOOKUP($A97,Questions!$A$2:$X$333,21,0)&amp;""</f>
        <v>Yes</v>
      </c>
      <c r="H97" s="185"/>
      <c r="I97" s="45" t="str">
        <f>VLOOKUP($A97,Questions!$A$2:$X$333,23,0)&amp;""</f>
        <v>Standard Importance</v>
      </c>
      <c r="J97" s="185"/>
      <c r="K97" s="48" t="b">
        <v>0</v>
      </c>
      <c r="L97" s="1"/>
    </row>
    <row r="98" spans="1:12" s="29" customFormat="1" ht="113.4" x14ac:dyDescent="0.25">
      <c r="A98" s="19" t="s">
        <v>1036</v>
      </c>
      <c r="B98" s="18" t="str">
        <f>VLOOKUP($A98,Questions!$A$2:$X$333,2,0)</f>
        <v>Do you provide an end-user privacy notice about privacy policies and procedures that identify the purpose(s) for which personal information is collected, used, retained, and disclosed?</v>
      </c>
      <c r="C98" s="45" t="str">
        <f>VLOOKUP($A98,Privacy!$A$13:$E$97,3,0)&amp;""</f>
        <v>Yes</v>
      </c>
      <c r="D98" s="34" t="str">
        <f>IF(LEFT(VLOOKUP($A98,Privacy!$A$13:$E$97,5,0),21)='Auto Responses'!$A$32,'Auto Responses'!$A$33,VLOOKUP($A98,Privacy!$A$13:$E$97,4,0))&amp;""</f>
        <v>This is inherited by institutional privacy policies upstream from Cursive and through our onboarding and installation processes of the browser extension.</v>
      </c>
      <c r="E98" s="330" t="str">
        <f>VLOOKUP($A98,Privacy!$A$13:$E$97,5,0)&amp;""</f>
        <v>Provide link or copy.</v>
      </c>
      <c r="F98" s="188"/>
      <c r="G98" s="30" t="str">
        <f>VLOOKUP($A98,Questions!$A$2:$X$333,21,0)&amp;""</f>
        <v>Yes</v>
      </c>
      <c r="H98" s="185"/>
      <c r="I98" s="45" t="str">
        <f>VLOOKUP($A98,Questions!$A$2:$X$333,23,0)&amp;""</f>
        <v>Standard Importance</v>
      </c>
      <c r="J98" s="185"/>
      <c r="K98" s="48" t="b">
        <v>0</v>
      </c>
      <c r="L98" s="1"/>
    </row>
    <row r="99" spans="1:12" s="29" customFormat="1" ht="409.6" x14ac:dyDescent="0.25">
      <c r="A99" s="19" t="s">
        <v>1037</v>
      </c>
      <c r="B99" s="18" t="str">
        <f>VLOOKUP($A99,Questions!$A$2:$X$333,2,0)</f>
        <v>Do you describe the choices available to the individual and obtain implicit or explicit consent with respect to the collection, use, and disclosure of personal information?</v>
      </c>
      <c r="C99" s="45" t="str">
        <f>VLOOKUP($A99,Privacy!$A$13:$E$97,3,0)&amp;""</f>
        <v>Yes</v>
      </c>
      <c r="D99" s="34" t="str">
        <f>IF(LEFT(VLOOKUP($A99,Privacy!$A$13:$E$97,5,0),21)='Auto Responses'!$A$32,'Auto Responses'!$A$33,VLOOKUP($A99,Privacy!$A$13:$E$97,4,0))&amp;""</f>
        <v>Choices regarding collection, use, and disclosure are described in the Privacy Policy at https://cursivetechnology.com/privacy-policy/. Implicit consent is established through institutional adoption of TypeID within the LMS environment, with the institution acting as the entity that obtains informed consent from end users (students) under FERPA's school-official framework or equivalent local law. For browser extension installs initiated directly by an end user, consent is explicit at the point of installation. Cursive's privacy notice describes the limited data elements collected (writing canvas activity, pastes, final text, keystroke timing, opaque LMS-issued UUID) and the absence of name, email, and grade data.</v>
      </c>
      <c r="E99" s="330" t="str">
        <f>VLOOKUP($A99,Privacy!$A$13:$E$97,5,0)&amp;""</f>
        <v>Provide copy, link, or summary overview.</v>
      </c>
      <c r="F99" s="188"/>
      <c r="G99" s="30" t="str">
        <f>VLOOKUP($A99,Questions!$A$2:$X$333,21,0)&amp;""</f>
        <v>Yes</v>
      </c>
      <c r="H99" s="185"/>
      <c r="I99" s="45" t="str">
        <f>VLOOKUP($A99,Questions!$A$2:$X$333,23,0)&amp;""</f>
        <v>Standard Importance</v>
      </c>
      <c r="J99" s="185"/>
      <c r="K99" s="48" t="b">
        <v>0</v>
      </c>
      <c r="L99" s="1"/>
    </row>
    <row r="100" spans="1:12" s="29" customFormat="1" ht="259.2" x14ac:dyDescent="0.25">
      <c r="A100" s="19" t="s">
        <v>1038</v>
      </c>
      <c r="B100" s="18" t="str">
        <f>VLOOKUP($A100,Questions!$A$2:$X$333,2,0)</f>
        <v>Do you collect personal information only for the purpose(s) identified in the agreement with an institution or, if there is none, the purpose(s) identified in the privacy notice?</v>
      </c>
      <c r="C100" s="45" t="str">
        <f>VLOOKUP($A100,Privacy!$A$13:$E$97,3,0)&amp;""</f>
        <v>Yes</v>
      </c>
      <c r="D100" s="34" t="str">
        <f>IF(LEFT(VLOOKUP($A100,Privacy!$A$13:$E$97,5,0),21)='Auto Responses'!$A$32,'Auto Responses'!$A$33,VLOOKUP($A100,Privacy!$A$13:$E$97,4,0))&amp;""</f>
        <v>Personal data is collected solely for the purposes identified in the institutional master agreement and the Privacy Policy: continuous authorship verification, originality classification, and instructor-facing reporting. Cursive does not collect personal data for marketing, advertising, profiling unrelated to the service, or resale.</v>
      </c>
      <c r="E100" s="330" t="str">
        <f>VLOOKUP($A100,Privacy!$A$13:$E$97,5,0)&amp;""</f>
        <v>Describe purposes not included in an agreement with the institution.</v>
      </c>
      <c r="F100" s="188"/>
      <c r="G100" s="30" t="str">
        <f>VLOOKUP($A100,Questions!$A$2:$X$333,21,0)&amp;""</f>
        <v>Yes</v>
      </c>
      <c r="H100" s="185"/>
      <c r="I100" s="45" t="str">
        <f>VLOOKUP($A100,Questions!$A$2:$X$333,23,0)&amp;""</f>
        <v>Standard Importance</v>
      </c>
      <c r="J100" s="185"/>
      <c r="K100" s="48" t="b">
        <v>0</v>
      </c>
      <c r="L100" s="1"/>
    </row>
    <row r="101" spans="1:12" s="29" customFormat="1" ht="210.6" x14ac:dyDescent="0.25">
      <c r="A101" s="19" t="s">
        <v>1039</v>
      </c>
      <c r="B101" s="18" t="str">
        <f>VLOOKUP($A101,Questions!$A$2:$X$333,2,0)</f>
        <v>Do you have a documented list of personal data your service maintains?</v>
      </c>
      <c r="C101" s="45" t="str">
        <f>VLOOKUP($A101,Privacy!$A$13:$E$97,3,0)&amp;""</f>
        <v>Yes</v>
      </c>
      <c r="D101" s="34" t="str">
        <f>IF(LEFT(VLOOKUP($A101,Privacy!$A$13:$E$97,5,0),21)='Auto Responses'!$A$32,'Auto Responses'!$A$33,VLOOKUP($A101,Privacy!$A$13:$E$97,4,0))&amp;""</f>
        <v>Data inventory: writing canvas activity (including pastes), final submitted text, keystroke timing/process telemetry, and an opaque LMS-issued user identifier (UUID). No name, email, grade, IP-as-identifier, or any other PII collected by Cursive.</v>
      </c>
      <c r="E101" s="330" t="str">
        <f>VLOOKUP($A101,Privacy!$A$13:$E$97,5,0)&amp;""</f>
        <v>Provide copy, link, or summary overview.</v>
      </c>
      <c r="F101" s="188"/>
      <c r="G101" s="30" t="str">
        <f>VLOOKUP($A101,Questions!$A$2:$X$333,21,0)&amp;""</f>
        <v>Yes</v>
      </c>
      <c r="H101" s="185"/>
      <c r="I101" s="45" t="str">
        <f>VLOOKUP($A101,Questions!$A$2:$X$333,23,0)&amp;""</f>
        <v>Standard Importance</v>
      </c>
      <c r="J101" s="185"/>
      <c r="K101" s="48" t="b">
        <v>0</v>
      </c>
      <c r="L101" s="1"/>
    </row>
    <row r="102" spans="1:12" s="29" customFormat="1" ht="340.2" x14ac:dyDescent="0.25">
      <c r="A102" s="19" t="s">
        <v>1040</v>
      </c>
      <c r="B102" s="18" t="str">
        <f>VLOOKUP($A102,Questions!$A$2:$X$333,2,0)</f>
        <v>Do you retain personal information for only as long as necessary to fulfill the stated purpose(s) or as required by law or regulation and thereafter appropriately dispose of such information?</v>
      </c>
      <c r="C102" s="45" t="str">
        <f>VLOOKUP($A102,Privacy!$A$13:$E$97,3,0)&amp;""</f>
        <v>Yes</v>
      </c>
      <c r="D102" s="34" t="str">
        <f>IF(LEFT(VLOOKUP($A102,Privacy!$A$13:$E$97,5,0),21)='Auto Responses'!$A$32,'Auto Responses'!$A$33,VLOOKUP($A102,Privacy!$A$13:$E$97,4,0))&amp;""</f>
        <v>Raw keystroke data submitted via API is deleted after authorship-payload generation; only the processed payload is retained. Browser extension local data is retained until user-initiated deletion (uninstall or "delete history"). Moodle-stored data follows the institution's Moodle data retention policy. Backups follow production retention windows with no extended retention beyond operational need.</v>
      </c>
      <c r="E102" s="330" t="str">
        <f>VLOOKUP($A102,Privacy!$A$13:$E$97,5,0)&amp;""</f>
        <v/>
      </c>
      <c r="F102" s="188"/>
      <c r="G102" s="30" t="str">
        <f>VLOOKUP($A102,Questions!$A$2:$X$333,21,0)&amp;""</f>
        <v>Yes</v>
      </c>
      <c r="H102" s="185"/>
      <c r="I102" s="45" t="str">
        <f>VLOOKUP($A102,Questions!$A$2:$X$333,23,0)&amp;""</f>
        <v>Standard Importance</v>
      </c>
      <c r="J102" s="185"/>
      <c r="K102" s="48" t="b">
        <v>0</v>
      </c>
      <c r="L102" s="1"/>
    </row>
    <row r="103" spans="1:12" s="29" customFormat="1" ht="409.6" x14ac:dyDescent="0.25">
      <c r="A103" s="19" t="s">
        <v>1041</v>
      </c>
      <c r="B103" s="18" t="str">
        <f>VLOOKUP($A103,Questions!$A$2:$X$333,2,0)</f>
        <v>Do you provide individuals with access to their personal information for review and update (i.e., data subject rights)?</v>
      </c>
      <c r="C103" s="45" t="str">
        <f>VLOOKUP($A103,Privacy!$A$13:$E$97,3,0)&amp;""</f>
        <v>Yes</v>
      </c>
      <c r="D103" s="34" t="str">
        <f>IF(LEFT(VLOOKUP($A103,Privacy!$A$13:$E$97,5,0),21)='Auto Responses'!$A$32,'Auto Responses'!$A$33,VLOOKUP($A103,Privacy!$A$13:$E$97,4,0))&amp;""</f>
        <v>End users can review and update their personal information through their institutional LMS account (which holds their identifying information). Within Cursive's systems, individuals can request access, correction, or deletion of their authorship data through the institution's standard data subject request workflow (Moodle data request flow). Browser extension users can hard-delete locally stored data via the extension UI ("uninstall" or "delete history"). Cursive responds to institutional data subject requests within the timelines specified in the master agreement.</v>
      </c>
      <c r="E103" s="330" t="str">
        <f>VLOOKUP($A103,Privacy!$A$13:$E$97,5,0)&amp;""</f>
        <v>Such processes would include descriptions of request processes individuals can follow to review their information and written processes a data subject may use to ask for changes or corrections to data held about them.</v>
      </c>
      <c r="F103" s="188"/>
      <c r="G103" s="30" t="str">
        <f>VLOOKUP($A103,Questions!$A$2:$X$333,21,0)&amp;""</f>
        <v>Yes</v>
      </c>
      <c r="H103" s="185"/>
      <c r="I103" s="45" t="str">
        <f>VLOOKUP($A103,Questions!$A$2:$X$333,23,0)&amp;""</f>
        <v>Standard Importance</v>
      </c>
      <c r="J103" s="185"/>
      <c r="K103" s="48" t="b">
        <v>0</v>
      </c>
      <c r="L103" s="1"/>
    </row>
    <row r="104" spans="1:12" s="29" customFormat="1" ht="291.60000000000002" x14ac:dyDescent="0.25">
      <c r="A104" s="19" t="s">
        <v>1042</v>
      </c>
      <c r="B104" s="18" t="str">
        <f>VLOOKUP($A104,Questions!$A$2:$X$333,2,0)</f>
        <v>Do you disclose personal information to third parties only for the purpose(s) identified in the privacy notice or with the implicit or explicit consent of the individual?</v>
      </c>
      <c r="C104" s="45" t="str">
        <f>VLOOKUP($A104,Privacy!$A$13:$E$97,3,0)&amp;""</f>
        <v>Yes</v>
      </c>
      <c r="D104" s="34" t="str">
        <f>IF(LEFT(VLOOKUP($A104,Privacy!$A$13:$E$97,5,0),21)='Auto Responses'!$A$32,'Auto Responses'!$A$33,VLOOKUP($A104,Privacy!$A$13:$E$97,4,0))&amp;""</f>
        <v>Cursive does not disclose personal data to third parties for purposes beyond service delivery. Subprocessors with access to systems (see Subprocessor Inventory) are bound by contract to use data only for the agreed service purposes. No data is sold, rented, or shared with advertising networks, data brokers, or analytics providers unrelated to the service.</v>
      </c>
      <c r="E104" s="330" t="str">
        <f>VLOOKUP($A104,Privacy!$A$13:$E$97,5,0)&amp;""</f>
        <v/>
      </c>
      <c r="F104" s="188"/>
      <c r="G104" s="30" t="str">
        <f>VLOOKUP($A104,Questions!$A$2:$X$333,21,0)&amp;""</f>
        <v>Yes</v>
      </c>
      <c r="H104" s="185"/>
      <c r="I104" s="45" t="str">
        <f>VLOOKUP($A104,Questions!$A$2:$X$333,23,0)&amp;""</f>
        <v>Standard Importance</v>
      </c>
      <c r="J104" s="185"/>
      <c r="K104" s="48" t="b">
        <v>0</v>
      </c>
      <c r="L104" s="1"/>
    </row>
    <row r="105" spans="1:12" s="29" customFormat="1" ht="291.60000000000002" x14ac:dyDescent="0.25">
      <c r="A105" s="19" t="s">
        <v>1043</v>
      </c>
      <c r="B105" s="18" t="str">
        <f>VLOOKUP($A105,Questions!$A$2:$X$333,2,0)</f>
        <v>Do you protect personal information against unauthorized access (both physical and logical)?</v>
      </c>
      <c r="C105" s="45" t="str">
        <f>VLOOKUP($A105,Privacy!$A$13:$E$97,3,0)&amp;""</f>
        <v>Yes</v>
      </c>
      <c r="D105" s="34" t="str">
        <f>IF(LEFT(VLOOKUP($A105,Privacy!$A$13:$E$97,5,0),21)='Auto Responses'!$A$32,'Auto Responses'!$A$33,VLOOKUP($A105,Privacy!$A$13:$E$97,4,0))&amp;""</f>
        <v>Personal information is protected through CNSA-grade encryption at rest (AWS KMS, AES-256), TLS 1.2 minimum in transit, AWS IAM least-privilege access controls, MFA on all administrative interfaces, AWS Network Firewall and Security Groups for network-layer protection, and AWS-managed physical security inherited from the underlying infrastructure provider.</v>
      </c>
      <c r="E105" s="330" t="str">
        <f>VLOOKUP($A105,Privacy!$A$13:$E$97,5,0)&amp;""</f>
        <v/>
      </c>
      <c r="F105" s="188"/>
      <c r="G105" s="30" t="str">
        <f>VLOOKUP($A105,Questions!$A$2:$X$333,21,0)&amp;""</f>
        <v>Yes</v>
      </c>
      <c r="H105" s="185"/>
      <c r="I105" s="45" t="str">
        <f>VLOOKUP($A105,Questions!$A$2:$X$333,23,0)&amp;""</f>
        <v>Standard Importance</v>
      </c>
      <c r="J105" s="185"/>
      <c r="K105" s="48" t="b">
        <v>0</v>
      </c>
      <c r="L105" s="1"/>
    </row>
    <row r="106" spans="1:12" s="29" customFormat="1" ht="340.2" x14ac:dyDescent="0.25">
      <c r="A106" s="19" t="s">
        <v>1044</v>
      </c>
      <c r="B106" s="18" t="str">
        <f>VLOOKUP($A106,Questions!$A$2:$X$333,2,0)</f>
        <v>Do you maintain accurate, complete, and relevant personal information for the purposes identified in the privacy notice?</v>
      </c>
      <c r="C106" s="45" t="str">
        <f>VLOOKUP($A106,Privacy!$A$13:$E$97,3,0)&amp;""</f>
        <v>Yes</v>
      </c>
      <c r="D106" s="34" t="str">
        <f>IF(LEFT(VLOOKUP($A106,Privacy!$A$13:$E$97,5,0),21)='Auto Responses'!$A$32,'Auto Responses'!$A$33,VLOOKUP($A106,Privacy!$A$13:$E$97,4,0))&amp;""</f>
        <v>Authorship telemetry is captured directly from the user's writing session and reflects their actual typing behavior; identifiers are inherited from the institutional LMS (which is the authoritative source for user identity) and updated automatically as the LMS state changes. End users and institutional administrators can request correction through the data subject request workflow described in DRPV-07.</v>
      </c>
      <c r="E106" s="330" t="str">
        <f>VLOOKUP($A106,Privacy!$A$13:$E$97,5,0)&amp;""</f>
        <v/>
      </c>
      <c r="F106" s="188"/>
      <c r="G106" s="30" t="str">
        <f>VLOOKUP($A106,Questions!$A$2:$X$333,21,0)&amp;""</f>
        <v>Yes</v>
      </c>
      <c r="H106" s="185"/>
      <c r="I106" s="45" t="str">
        <f>VLOOKUP($A106,Questions!$A$2:$X$333,23,0)&amp;""</f>
        <v>Standard Importance</v>
      </c>
      <c r="J106" s="185"/>
      <c r="K106" s="48" t="b">
        <v>0</v>
      </c>
      <c r="L106" s="1"/>
    </row>
    <row r="107" spans="1:12" s="29" customFormat="1" ht="324" x14ac:dyDescent="0.25">
      <c r="A107" s="19" t="s">
        <v>1045</v>
      </c>
      <c r="B107" s="18" t="str">
        <f>VLOOKUP($A107,Questions!$A$2:$X$333,2,0)</f>
        <v>Do you have procedures to address privacy-related noncompliance complaints and disputes?</v>
      </c>
      <c r="C107" s="45" t="str">
        <f>VLOOKUP($A107,Privacy!$A$13:$E$97,3,0)&amp;""</f>
        <v>Yes</v>
      </c>
      <c r="D107" s="34" t="str">
        <f>IF(LEFT(VLOOKUP($A107,Privacy!$A$13:$E$97,5,0),21)='Auto Responses'!$A$32,'Auto Responses'!$A$33,VLOOKUP($A107,Privacy!$A$13:$E$97,4,0))&amp;""</f>
        <v>Privacy-related complaints and disputes can be submitted to joe@cursivetechnology.com or through the institutional point of contact. Complaints are logged, investigated by the Founder/CEO (acting as privacy point of contact), and resolved in coordination with the institutional customer where applicable. Complaint handling is part of the Incident Response Plan in the Cursive Policies and Procedures.</v>
      </c>
      <c r="E107" s="330" t="str">
        <f>VLOOKUP($A107,Privacy!$A$13:$E$97,5,0)&amp;""</f>
        <v>Provide a brief overview of processes or procedures to handle privacy-related complaints.</v>
      </c>
      <c r="F107" s="188"/>
      <c r="G107" s="30" t="str">
        <f>VLOOKUP($A107,Questions!$A$2:$X$333,21,0)&amp;""</f>
        <v>Yes</v>
      </c>
      <c r="H107" s="185"/>
      <c r="I107" s="45" t="str">
        <f>VLOOKUP($A107,Questions!$A$2:$X$333,23,0)&amp;""</f>
        <v>Standard Importance</v>
      </c>
      <c r="J107" s="185"/>
      <c r="K107" s="48" t="b">
        <v>0</v>
      </c>
      <c r="L107" s="1"/>
    </row>
    <row r="108" spans="1:12" s="29" customFormat="1" ht="340.2" x14ac:dyDescent="0.25">
      <c r="A108" s="19" t="s">
        <v>1046</v>
      </c>
      <c r="B108" s="18" t="str">
        <f>VLOOKUP($A108,Questions!$A$2:$X$333,2,0)</f>
        <v>Do you "anonymize," "de-identify," or otherwise mask personal data?</v>
      </c>
      <c r="C108" s="45" t="str">
        <f>VLOOKUP($A108,Privacy!$A$13:$E$97,3,0)&amp;""</f>
        <v>Yes</v>
      </c>
      <c r="D108" s="34" t="str">
        <f>IF(LEFT(VLOOKUP($A108,Privacy!$A$13:$E$97,5,0),21)='Auto Responses'!$A$32,'Auto Responses'!$A$33,VLOOKUP($A108,Privacy!$A$13:$E$97,4,0))&amp;""</f>
        <v>De-identification is the default state. Cursive's authorship determination operates on telemetry tied only to opaque LMS-issued UUIDs; no directly identifying personal information is required to perform the authorship analysis. The processed authorship payload retained in Cursive's systems contains telemetry features and a UUID — the link from UUID to identifiable individual is held only by the institutional LMS.</v>
      </c>
      <c r="E108" s="330" t="str">
        <f>VLOOKUP($A108,Privacy!$A$13:$E$97,5,0)&amp;""</f>
        <v>Briefly describe method used to mask data.</v>
      </c>
      <c r="F108" s="188"/>
      <c r="G108" s="30" t="str">
        <f>VLOOKUP($A108,Questions!$A$2:$X$333,21,0)&amp;""</f>
        <v>Yes</v>
      </c>
      <c r="H108" s="185"/>
      <c r="I108" s="45" t="str">
        <f>VLOOKUP($A108,Questions!$A$2:$X$333,23,0)&amp;""</f>
        <v>Standard Importance</v>
      </c>
      <c r="J108" s="185"/>
      <c r="K108" s="48" t="b">
        <v>0</v>
      </c>
      <c r="L108" s="1"/>
    </row>
    <row r="109" spans="1:12" s="29" customFormat="1" ht="324" x14ac:dyDescent="0.25">
      <c r="A109" s="19" t="s">
        <v>1047</v>
      </c>
      <c r="B109" s="18" t="str">
        <f>VLOOKUP($A109,Questions!$A$2:$X$333,2,0)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109" s="45" t="str">
        <f>VLOOKUP($A109,Privacy!$A$13:$E$97,3,0)&amp;""</f>
        <v>No</v>
      </c>
      <c r="D109" s="34" t="str">
        <f>IF(LEFT(VLOOKUP($A109,Privacy!$A$13:$E$97,5,0),21)='Auto Responses'!$A$32,'Auto Responses'!$A$33,VLOOKUP($A109,Privacy!$A$13:$E$97,4,0))&amp;""</f>
        <v>Cursive does not use or disclose de-identified or anonymized data for any purpose other than service delivery to the contracting institution. AWS-stored data is purged according to the institution's instruction; subprocessor access is revoked or scoped to exclude the affected data. Confirmation is provided to the requesting party. Process is documented in the Incident Response and Data Removal/Disposal procedures.</v>
      </c>
      <c r="E109" s="330" t="str">
        <f>VLOOKUP($A109,Privacy!$A$13:$E$97,5,0)&amp;""</f>
        <v/>
      </c>
      <c r="F109" s="188"/>
      <c r="G109" s="30" t="str">
        <f>VLOOKUP($A109,Questions!$A$2:$X$333,21,0)&amp;""</f>
        <v>No</v>
      </c>
      <c r="H109" s="185"/>
      <c r="I109" s="45" t="str">
        <f>VLOOKUP($A109,Questions!$A$2:$X$333,23,0)&amp;""</f>
        <v>Standard Importance</v>
      </c>
      <c r="J109" s="185"/>
      <c r="K109" s="48" t="b">
        <v>0</v>
      </c>
      <c r="L109" s="1"/>
    </row>
    <row r="110" spans="1:12" s="29" customFormat="1" ht="178.2" x14ac:dyDescent="0.25">
      <c r="A110" s="19" t="s">
        <v>1048</v>
      </c>
      <c r="B110" s="18" t="str">
        <f>VLOOKUP($A110,Questions!$A$2:$X$333,2,0)</f>
        <v>Do you certify stop-processing requests, including any data that is processed by a third party on your behalf?</v>
      </c>
      <c r="C110" s="45" t="str">
        <f>VLOOKUP($A110,Privacy!$A$13:$E$97,3,0)&amp;""</f>
        <v>Yes</v>
      </c>
      <c r="D110" s="34" t="str">
        <f>IF(LEFT(VLOOKUP($A110,Privacy!$A$13:$E$97,5,0),21)='Auto Responses'!$A$32,'Auto Responses'!$A$33,VLOOKUP($A110,Privacy!$A$13:$E$97,4,0))&amp;""</f>
        <v>Stop-processing requests received from institutional customers or end users (via institutional channel) trigger cessation of further processing of the affected data and propagation of the request to relevant subprocessors.</v>
      </c>
      <c r="E110" s="330" t="str">
        <f>VLOOKUP($A110,Privacy!$A$13:$E$97,5,0)&amp;""</f>
        <v>Briefly outline relevant processes.</v>
      </c>
      <c r="F110" s="188"/>
      <c r="G110" s="30" t="str">
        <f>VLOOKUP($A110,Questions!$A$2:$X$333,21,0)&amp;""</f>
        <v>Yes</v>
      </c>
      <c r="H110" s="185"/>
      <c r="I110" s="45" t="str">
        <f>VLOOKUP($A110,Questions!$A$2:$X$333,23,0)&amp;""</f>
        <v>Standard Importance</v>
      </c>
      <c r="J110" s="185"/>
      <c r="K110" s="48" t="b">
        <v>0</v>
      </c>
      <c r="L110" s="1"/>
    </row>
    <row r="111" spans="1:12" s="29" customFormat="1" ht="409.6" x14ac:dyDescent="0.25">
      <c r="A111" s="19" t="s">
        <v>1049</v>
      </c>
      <c r="B111" s="18" t="str">
        <f>VLOOKUP($A111,Questions!$A$2:$X$333,2,0)</f>
        <v>Do you have a process to review code for ethical considerations?</v>
      </c>
      <c r="C111" s="45" t="str">
        <f>VLOOKUP($A111,Privacy!$A$13:$E$97,3,0)&amp;""</f>
        <v>No</v>
      </c>
      <c r="D111" s="34" t="str">
        <f>IF(LEFT(VLOOKUP($A111,Privacy!$A$13:$E$97,5,0),21)='Auto Responses'!$A$32,'Auto Responses'!$A$33,VLOOKUP($A111,Privacy!$A$13:$E$97,4,0))&amp;""</f>
        <v>Code review during the SDLC includes consideration of privacy and security implications via Security Impact Analysis as part of the change-management process. Ethical considerations specific to AI/ML — including bias, fairness, and the human-in-the-loop principle for authorship determinations — are discussed during model and feature design. A formal documented "ethical review" process or AI ethics committee is not maintained at current company size; ethical considerations are embedded in the SDLC and in the design discussions for the Keyread and Copy-behavior models.</v>
      </c>
      <c r="E111" s="330" t="str">
        <f>VLOOKUP($A111,Privacy!$A$13:$E$97,5,0)&amp;""</f>
        <v/>
      </c>
      <c r="F111" s="188"/>
      <c r="G111" s="30" t="str">
        <f>VLOOKUP($A111,Questions!$A$2:$X$333,21,0)&amp;""</f>
        <v>Yes</v>
      </c>
      <c r="H111" s="185"/>
      <c r="I111" s="45" t="str">
        <f>VLOOKUP($A111,Questions!$A$2:$X$333,23,0)&amp;""</f>
        <v>Standard Importance</v>
      </c>
      <c r="J111" s="185"/>
      <c r="K111" s="48" t="b">
        <v>0</v>
      </c>
      <c r="L111" s="1"/>
    </row>
    <row r="112" spans="1:12" s="1" customFormat="1" ht="17.399999999999999" x14ac:dyDescent="0.25">
      <c r="A112" s="63" t="str">
        <f>VLOOKUP(LEFT($A113,4),'Auto Responses'!$N$4:$O$38,2,0)&amp;""</f>
        <v xml:space="preserve"> Privacy and AI</v>
      </c>
      <c r="B112" s="22"/>
      <c r="C112" s="31"/>
      <c r="D112" s="31"/>
      <c r="E112" s="331"/>
      <c r="F112" s="132" t="s">
        <v>1030</v>
      </c>
      <c r="G112" s="335" t="s">
        <v>869</v>
      </c>
      <c r="H112" s="335" t="s">
        <v>871</v>
      </c>
      <c r="I112" s="335" t="s">
        <v>19</v>
      </c>
      <c r="J112" s="335" t="s">
        <v>856</v>
      </c>
      <c r="K112" s="31"/>
    </row>
    <row r="113" spans="1:12" s="29" customFormat="1" ht="372.6" x14ac:dyDescent="0.25">
      <c r="A113" s="19" t="s">
        <v>1050</v>
      </c>
      <c r="B113" s="18" t="str">
        <f>VLOOKUP($A113,Questions!$A$2:$X$333,2,0)</f>
        <v>Does your service use AI for the processing of institutional data?</v>
      </c>
      <c r="C113" s="45" t="str">
        <f>VLOOKUP($A113,Privacy!$A$13:$E$97,3,0)&amp;""</f>
        <v>Yes</v>
      </c>
      <c r="D113" s="34" t="str">
        <f>IF(LEFT(VLOOKUP($A113,Privacy!$A$13:$E$97,5,0),21)='Auto Responses'!$A$32,'Auto Responses'!$A$33,VLOOKUP($A113,Privacy!$A$13:$E$97,4,0))&amp;""</f>
        <v>TypeID uses two production ML models on institutional data: Keyread (typing-biometric authorship classifier) and Copy-behavior (originality / typed-vs-pasted classifier). Both are proprietary models trained by Cursive; no third-party LLM or foundation model is used in production. Models receive writing process telemetry tied to an opaque LMS-issued UUID (no name, email, or grade data) and produce a binary "Verified" / "Verifying" output presented to the instructor.</v>
      </c>
      <c r="E113" s="330" t="str">
        <f>VLOOKUP($A113,Privacy!$A$13:$E$97,5,0)&amp;""</f>
        <v>Describe how your service uses AI to process institutional data. Include the types of data involved, the purpose of AI usage, and any decision-making roles AI plays.</v>
      </c>
      <c r="F113" s="188"/>
      <c r="G113" s="30" t="str">
        <f>VLOOKUP($A113,Questions!$A$2:$X$333,21,0)&amp;""</f>
        <v>No</v>
      </c>
      <c r="H113" s="185"/>
      <c r="I113" s="45" t="str">
        <f>VLOOKUP($A113,Questions!$A$2:$X$333,23,0)&amp;""</f>
        <v>Standard Importance</v>
      </c>
      <c r="J113" s="185"/>
      <c r="K113" s="48" t="b">
        <v>0</v>
      </c>
      <c r="L113" s="1"/>
    </row>
    <row r="114" spans="1:12" s="29" customFormat="1" ht="409.6" x14ac:dyDescent="0.25">
      <c r="A114" s="19" t="s">
        <v>1051</v>
      </c>
      <c r="B114" s="18" t="str">
        <f>VLOOKUP($A114,Questions!$A$2:$X$333,2,0)</f>
        <v>Is any institutional data retained in AI processing?*</v>
      </c>
      <c r="C114" s="45" t="str">
        <f>VLOOKUP($A114,Privacy!$A$13:$E$97,3,0)&amp;""</f>
        <v>Yes</v>
      </c>
      <c r="D114" s="34" t="str">
        <f>IF(LEFT(VLOOKUP($A114,Privacy!$A$13:$E$97,5,0),21)='Auto Responses'!$A$32,'Auto Responses'!$A$33,VLOOKUP($A114,Privacy!$A$13:$E$97,4,0))&amp;""</f>
        <v>Raw keystroke telemetry submitted to the inference API is processed transiently and deleted after authorship-payload generation. The processed authorship payload (model output and supporting feature data, tied to the LMS UUID) is retained per the documented retention practices in PRIV-08. By default, no institutional data is used to train, fine-tune, or improve the production models — training operates exclusively on Cursive-owned datasets validated against a diverse undergraduate population at the University of Maryland, Mechanical Turk, India-based contractors, friends and family, and volunteers. Any deviation from this default requires written contractual agreement with the institution.</v>
      </c>
      <c r="E114" s="330" t="str">
        <f>VLOOKUP($A114,Privacy!$A$13:$E$97,5,0)&amp;""</f>
        <v>Specify what data is retained, for how long, and how it is protected.</v>
      </c>
      <c r="F114" s="188"/>
      <c r="G114" s="30" t="str">
        <f>VLOOKUP($A114,Questions!$A$2:$X$333,21,0)&amp;""</f>
        <v>No</v>
      </c>
      <c r="H114" s="185"/>
      <c r="I114" s="45" t="str">
        <f>VLOOKUP($A114,Questions!$A$2:$X$333,23,0)&amp;""</f>
        <v>Critical Importance</v>
      </c>
      <c r="J114" s="185"/>
      <c r="K114" s="48" t="b">
        <v>0</v>
      </c>
      <c r="L114" s="1"/>
    </row>
    <row r="115" spans="1:12" s="29" customFormat="1" ht="409.6" x14ac:dyDescent="0.25">
      <c r="A115" s="19" t="s">
        <v>773</v>
      </c>
      <c r="B115" s="18" t="str">
        <f>VLOOKUP($A115,Questions!$A$2:$X$333,2,0)</f>
        <v>Do you have agreements in place with third parties or subprocessors regarding the protection of customer data and use of AI?*</v>
      </c>
      <c r="C115" s="45" t="str">
        <f>VLOOKUP($A115,Privacy!$A$13:$E$97,3,0)&amp;""</f>
        <v>Yes</v>
      </c>
      <c r="D115" s="34" t="str">
        <f>IF(LEFT(VLOOKUP($A115,Privacy!$A$13:$E$97,5,0),21)='Auto Responses'!$A$32,'Auto Responses'!$A$33,VLOOKUP($A115,Privacy!$A$13:$E$97,4,0))&amp;""</f>
        <v>Cursive's production AI processing is performed entirely on Cursive-owned proprietary models (Keyread, Copy-behavior). No third-party AI service or LLM API receives institutional data in production. Subprocessor agreements with parties that have any access to Cursive infrastructure (AWS, Brain-Station 23, Tech Worm LLC, AWS engineering contractor) include NDA terms, data-use limitations, and access scoped via AWS IAM least-privilege; AI-specific contractual terms are incorporated where relevant (e.g., Tech Worm LLC engagement explicitly excludes use of institutional client data in model training).</v>
      </c>
      <c r="E115" s="330" t="str">
        <f>VLOOKUP($A115,Privacy!$A$13:$E$97,5,0)&amp;""</f>
        <v>List all subprocessors and describe the agreements in place regarding AI and data protection.</v>
      </c>
      <c r="F115" s="188"/>
      <c r="G115" s="30" t="str">
        <f>VLOOKUP($A115,Questions!$A$2:$X$333,21,0)&amp;""</f>
        <v>Yes</v>
      </c>
      <c r="H115" s="185"/>
      <c r="I115" s="45" t="str">
        <f>VLOOKUP($A115,Questions!$A$2:$X$333,23,0)&amp;""</f>
        <v>Critical Importance</v>
      </c>
      <c r="J115" s="185"/>
      <c r="K115" s="48" t="b">
        <v>0</v>
      </c>
      <c r="L115" s="1"/>
    </row>
    <row r="116" spans="1:12" s="29" customFormat="1" ht="307.8" x14ac:dyDescent="0.25">
      <c r="A116" s="19" t="s">
        <v>775</v>
      </c>
      <c r="B116" s="18" t="str">
        <f>VLOOKUP($A116,Questions!$A$2:$X$333,2,0)</f>
        <v>Will institutional data be processed through a third party or subprocessor that also uses AI?</v>
      </c>
      <c r="C116" s="45" t="str">
        <f>VLOOKUP($A116,Privacy!$A$13:$E$97,3,0)&amp;""</f>
        <v>No</v>
      </c>
      <c r="D116" s="34" t="str">
        <f>IF(LEFT(VLOOKUP($A116,Privacy!$A$13:$E$97,5,0),21)='Auto Responses'!$A$32,'Auto Responses'!$A$33,VLOOKUP($A116,Privacy!$A$13:$E$97,4,0))&amp;""</f>
        <v>Institutional data is not processed through any third-party or subprocessor AI service. All inference is performed on Cursive-owned proprietary models running on Cursive-managed AWS infrastructure. The UAE-based ML engineering subprocessor (Tech Worm LLC) supports model development on Cursive-owned training datasets but does not provide AI services that process institutional data.</v>
      </c>
      <c r="E116" s="330" t="str">
        <f>VLOOKUP($A116,Privacy!$A$13:$E$97,5,0)&amp;""</f>
        <v>Confirm whether third-party AI use occurs. Ensure that oversight and contractual protections are in place. Clarify any unclear relationships.</v>
      </c>
      <c r="F116" s="188"/>
      <c r="G116" s="30" t="str">
        <f>VLOOKUP($A116,Questions!$A$2:$X$333,21,0)&amp;""</f>
        <v>No</v>
      </c>
      <c r="H116" s="185"/>
      <c r="I116" s="45" t="str">
        <f>VLOOKUP($A116,Questions!$A$2:$X$333,23,0)&amp;""</f>
        <v>Standard Importance</v>
      </c>
      <c r="J116" s="185"/>
      <c r="K116" s="48" t="b">
        <v>0</v>
      </c>
      <c r="L116" s="1"/>
    </row>
    <row r="117" spans="1:12" s="29" customFormat="1" ht="405" x14ac:dyDescent="0.25">
      <c r="A117" s="19" t="s">
        <v>776</v>
      </c>
      <c r="B117" s="18" t="str">
        <f>VLOOKUP($A117,Questions!$A$2:$X$333,2,0)</f>
        <v>Is AI processing limited to fully licensed commercial enterprise AI services?</v>
      </c>
      <c r="C117" s="45" t="str">
        <f>VLOOKUP($A117,Privacy!$A$13:$E$97,3,0)&amp;""</f>
        <v>No</v>
      </c>
      <c r="D117" s="34" t="str">
        <f>IF(LEFT(VLOOKUP($A117,Privacy!$A$13:$E$97,5,0),21)='Auto Responses'!$A$32,'Auto Responses'!$A$33,VLOOKUP($A117,Privacy!$A$13:$E$97,4,0))&amp;""</f>
        <v>AI processing is performed on Cursive-owned proprietary models, not on commercial enterprise AI services (e.g., OpenAI, Anthropic, Azure, etc.). The question is not applicable in the affirmative sense — Cursive does not use commercial enterprise AI services for institutional data processing — but Cursive's in-house models are subject to the same access controls, data handling, and contractual protections that would apply to a commercial enterprise AI engagement.</v>
      </c>
      <c r="E117" s="330" t="str">
        <f>VLOOKUP($A117,Privacy!$A$13:$E$97,5,0)&amp;""</f>
        <v>Provide names of services used and license types. Note whether open-source or experimental tools are used.</v>
      </c>
      <c r="F117" s="188"/>
      <c r="G117" s="30" t="str">
        <f>VLOOKUP($A117,Questions!$A$2:$X$333,21,0)&amp;""</f>
        <v>Yes</v>
      </c>
      <c r="H117" s="185"/>
      <c r="I117" s="45" t="str">
        <f>VLOOKUP($A117,Questions!$A$2:$X$333,23,0)&amp;""</f>
        <v>Minor Importance</v>
      </c>
      <c r="J117" s="185"/>
      <c r="K117" s="48" t="b">
        <v>0</v>
      </c>
      <c r="L117" s="1"/>
    </row>
    <row r="118" spans="1:12" s="29" customFormat="1" ht="324" x14ac:dyDescent="0.25">
      <c r="A118" s="19" t="s">
        <v>778</v>
      </c>
      <c r="B118" s="18" t="str">
        <f>VLOOKUP($A118,Questions!$A$2:$X$333,2,0)</f>
        <v>Will institutional data be used or processed by any shared AI services?</v>
      </c>
      <c r="C118" s="45" t="str">
        <f>VLOOKUP($A118,Privacy!$A$13:$E$97,3,0)&amp;""</f>
        <v>No</v>
      </c>
      <c r="D118" s="34" t="str">
        <f>IF(LEFT(VLOOKUP($A118,Privacy!$A$13:$E$97,5,0),21)='Auto Responses'!$A$32,'Auto Responses'!$A$33,VLOOKUP($A118,Privacy!$A$13:$E$97,4,0))&amp;""</f>
        <v>Institutional data is not processed by any shared AI service. Each institutional customer's data is logically isolated through tagging by source, user, resource ID, and secure token (consistent with HLDA-01 single-tenant capability). The Cursive-owned models perform inference on a per-request basis with no cross-customer aggregation, and no institutional data is pooled with other customers' data for shared AI processing.</v>
      </c>
      <c r="E118" s="330" t="str">
        <f>VLOOKUP($A118,Privacy!$A$13:$E$97,5,0)&amp;""</f>
        <v>Provide detailed response to the type of data needed for the AI service to function appropriately, the sources of the data, and whether any data shared with the AI service comes from data sources outside the institution.</v>
      </c>
      <c r="F118" s="188"/>
      <c r="G118" s="30" t="str">
        <f>VLOOKUP($A118,Questions!$A$2:$X$333,21,0)&amp;""</f>
        <v>No</v>
      </c>
      <c r="H118" s="185"/>
      <c r="I118" s="45" t="str">
        <f>VLOOKUP($A118,Questions!$A$2:$X$333,23,0)&amp;""</f>
        <v>Minor Importance</v>
      </c>
      <c r="J118" s="185"/>
      <c r="K118" s="48" t="b">
        <v>0</v>
      </c>
      <c r="L118" s="1"/>
    </row>
    <row r="119" spans="1:12" s="29" customFormat="1" ht="409.6" x14ac:dyDescent="0.25">
      <c r="A119" s="19" t="s">
        <v>779</v>
      </c>
      <c r="B119" s="18" t="str">
        <f>VLOOKUP($A119,Questions!$A$2:$X$333,2,0)</f>
        <v>Do you have safeguards in place to protect institutional data and data privacy from unintended AI queries or processing?</v>
      </c>
      <c r="C119" s="45" t="str">
        <f>VLOOKUP($A119,Privacy!$A$13:$E$97,3,0)&amp;""</f>
        <v>Yes</v>
      </c>
      <c r="D119" s="34" t="str">
        <f>IF(LEFT(VLOOKUP($A119,Privacy!$A$13:$E$97,5,0),21)='Auto Responses'!$A$32,'Auto Responses'!$A$33,VLOOKUP($A119,Privacy!$A$13:$E$97,4,0))&amp;""</f>
        <v>Safeguards include: (1) inference endpoints require valid LMS-issued tokens and are rate-limited to prevent abuse; (2) all inference requests are logged with UUID, timestamp, and outcome (per AIML-20); (3) AWS IAM least-privilege controls restrict access to model artifacts and inference logs; (4) institutional data is logically isolated per HLDA-01; (5) model architecture is constrained to specific input feature types (writing process telemetry) — the models cannot accept arbitrary queries the way an LLM endpoint could; (6) outputs are bounded to a binary classification, eliminating risk of unintended generation. The constrained classifier architecture (vs. generative AI) materially limits the surface area for unintended AI queries or processing.</v>
      </c>
      <c r="E119" s="330" t="str">
        <f>VLOOKUP($A119,Privacy!$A$13:$E$97,5,0)&amp;""</f>
        <v>Explain any data minimization processes used to exclude institutional data from AI algorithm or training, etc.</v>
      </c>
      <c r="F119" s="188"/>
      <c r="G119" s="30" t="str">
        <f>VLOOKUP($A119,Questions!$A$2:$X$333,21,0)&amp;""</f>
        <v>Yes</v>
      </c>
      <c r="H119" s="185"/>
      <c r="I119" s="45" t="str">
        <f>VLOOKUP($A119,Questions!$A$2:$X$333,23,0)&amp;""</f>
        <v>Minor Importance</v>
      </c>
      <c r="J119" s="185"/>
      <c r="K119" s="48" t="b">
        <v>0</v>
      </c>
      <c r="L119" s="1"/>
    </row>
    <row r="120" spans="1:12" s="29" customFormat="1" ht="409.6" x14ac:dyDescent="0.25">
      <c r="A120" s="19" t="s">
        <v>780</v>
      </c>
      <c r="B120" s="18" t="str">
        <f>VLOOKUP($A120,Questions!$A$2:$X$333,2,0)</f>
        <v>Do you provide choice to the user to opt out of AI use?</v>
      </c>
      <c r="C120" s="45" t="str">
        <f>VLOOKUP($A120,Privacy!$A$13:$E$97,3,0)&amp;""</f>
        <v>Yes</v>
      </c>
      <c r="D120" s="34" t="str">
        <f>IF(LEFT(VLOOKUP($A120,Privacy!$A$13:$E$97,5,0),21)='Auto Responses'!$A$32,'Auto Responses'!$A$33,VLOOKUP($A120,Privacy!$A$13:$E$97,4,0))&amp;""</f>
        <v xml:space="preserve">User-level opt-out is governed by the institutional contract. Cursive's default position is that the institution determines whether end users can opt out of AI-based authorship verification, since opting out would also opt the user out of the service itself (TypeID's authorship verification is fundamentally AI-based). For institutions that elect to provide opt-out, the institution removes the affected user from the TypeID enrollment within the LMS. Cursive does not provide a separate AI-specific opt-out independent of opting out of the service entirely, since AI processing is intrinsic to the service rather than an optional layer. For the AI served locally, this end user agreements and privacy policy are explicit acknowledgements "I accept" during the installation process which loads our ML/AI to a user's computer. </v>
      </c>
      <c r="E120" s="330" t="str">
        <f>VLOOKUP($A120,Privacy!$A$13:$E$97,5,0)&amp;""</f>
        <v>Provide the language used for a user to opt-out or consent to the use of AI</v>
      </c>
      <c r="F120" s="188"/>
      <c r="G120" s="30" t="str">
        <f>VLOOKUP($A120,Questions!$A$2:$X$333,21,0)&amp;""</f>
        <v>Yes</v>
      </c>
      <c r="H120" s="185"/>
      <c r="I120" s="45" t="str">
        <f>VLOOKUP($A120,Questions!$A$2:$X$333,23,0)&amp;""</f>
        <v>Minor Importance</v>
      </c>
      <c r="J120" s="185"/>
      <c r="K120" s="48" t="b">
        <v>0</v>
      </c>
      <c r="L120" s="1"/>
    </row>
    <row r="121" spans="1:12" ht="16.2" x14ac:dyDescent="0.3"/>
    <row r="122" spans="1:12" ht="16.2" x14ac:dyDescent="0.3"/>
    <row r="123" spans="1:12" s="1" customFormat="1" ht="18" thickBot="1" x14ac:dyDescent="0.3">
      <c r="A123" s="218" t="s">
        <v>1508</v>
      </c>
      <c r="B123" s="219"/>
      <c r="C123" s="220"/>
      <c r="D123" s="220"/>
      <c r="E123" s="220"/>
      <c r="F123" s="221"/>
      <c r="G123" s="220"/>
      <c r="H123" s="220"/>
      <c r="I123" s="220"/>
      <c r="J123" s="220"/>
      <c r="K123" s="220"/>
    </row>
    <row r="124" spans="1:12" s="29" customFormat="1" ht="33" thickBot="1" x14ac:dyDescent="0.3">
      <c r="A124" s="26" t="s">
        <v>851</v>
      </c>
      <c r="B124" s="27" t="s">
        <v>1</v>
      </c>
      <c r="C124" s="27" t="s">
        <v>852</v>
      </c>
      <c r="D124" s="28" t="s">
        <v>72</v>
      </c>
      <c r="E124" s="27" t="s">
        <v>848</v>
      </c>
      <c r="F124" s="187" t="s">
        <v>849</v>
      </c>
      <c r="G124" s="46" t="s">
        <v>869</v>
      </c>
      <c r="H124" s="43" t="s">
        <v>871</v>
      </c>
      <c r="I124" s="43" t="s">
        <v>19</v>
      </c>
      <c r="J124" s="44" t="s">
        <v>856</v>
      </c>
      <c r="K124" s="47" t="s">
        <v>867</v>
      </c>
      <c r="L124" s="1"/>
    </row>
    <row r="125" spans="1:12" s="1" customFormat="1" ht="17.399999999999999" x14ac:dyDescent="0.25">
      <c r="A125" s="63" t="str">
        <f>VLOOKUP(LEFT($A126,4),'Auto Responses'!$N$4:$O$38,2,0)&amp;""</f>
        <v xml:space="preserve"> Company Information</v>
      </c>
      <c r="B125" s="22"/>
      <c r="C125" s="31"/>
      <c r="D125" s="31"/>
      <c r="E125" s="31"/>
      <c r="F125" s="132" t="s">
        <v>1030</v>
      </c>
      <c r="G125" s="31"/>
      <c r="H125" s="31"/>
      <c r="I125" s="31"/>
      <c r="J125" s="31"/>
      <c r="K125" s="31"/>
    </row>
    <row r="126" spans="1:12" s="29" customFormat="1" ht="226.8" x14ac:dyDescent="0.3">
      <c r="A126" s="19" t="s">
        <v>35</v>
      </c>
      <c r="B126" s="18" t="str">
        <f>VLOOKUP($A126,Questions!$A$2:$X$333,2,0)</f>
        <v>Do you have a dedicated software and system development team(s) (e.g., customer support, implementation, product management, etc.)?*</v>
      </c>
      <c r="C126" s="45" t="str">
        <f>VLOOKUP($A126,'Institution Evaluation'!$A$56:$K$345,3,0)&amp;""</f>
        <v>Yes</v>
      </c>
      <c r="D126" s="45" t="str">
        <f>VLOOKUP($A126,'Institution Evaluation'!$A$56:$K$345,4,0)&amp;""</f>
        <v xml:space="preserve">As a small team we are cross-functional but have dedicated roles and responsibilities within the company working with respective teams including outsourcing partners. All deployment of systems for the purpose of serving clients is completed at the direction of our team. </v>
      </c>
      <c r="E126" s="330" t="str">
        <f>VLOOKUP($A126,'Institution Evaluation'!$A$56:$K$345,5,0)&amp;""</f>
        <v>Describe the structure and size of your software and system development teams. (e.g., customer support, implementation, product management, etc.).</v>
      </c>
      <c r="F126" s="188" t="str">
        <f>VLOOKUP($A126,'Institution Evaluation'!$A$56:$K$345,6,0)&amp;""</f>
        <v/>
      </c>
      <c r="G126" s="30" t="str">
        <f>VLOOKUP($A126,'Institution Evaluation'!$A$56:$K$345,7,0)&amp;""</f>
        <v>Yes</v>
      </c>
      <c r="H126" s="185" t="str">
        <f>VLOOKUP($A126,'Institution Evaluation'!$A$56:$K$345,8,0)&amp;""</f>
        <v/>
      </c>
      <c r="I126" s="45" t="str">
        <f>VLOOKUP($A126,'Institution Evaluation'!$A$56:$K$345,9,0)&amp;""</f>
        <v>Standard Importance</v>
      </c>
      <c r="J126" s="186" t="str">
        <f>VLOOKUP($A126,'Institution Evaluation'!$A$56:$K$345,10,0)&amp;""</f>
        <v/>
      </c>
      <c r="K126" s="48" t="str">
        <f>IF(VLOOKUP($A126,'Institution Evaluation'!$A$56:$K$345,10,0)=TRUE,'Auto Responses'!$J$3,"")</f>
        <v/>
      </c>
      <c r="L126" s="48" t="str">
        <f>IF(VLOOKUP($A126,'Institution Evaluation'!$A$56:$K$345,10,0)=TRUE,'Auto Responses'!$J$3,"")</f>
        <v/>
      </c>
    </row>
    <row r="127" spans="1:12" ht="226.8" x14ac:dyDescent="0.3">
      <c r="A127" s="19" t="s">
        <v>42</v>
      </c>
      <c r="B127" s="18" t="str">
        <f>VLOOKUP($A127,Questions!$A$2:$X$333,2,0)</f>
        <v>Describe your organization’s business background and ownership structure, including all parent and subsidiary relationships.</v>
      </c>
      <c r="C127" s="45" t="str">
        <f>VLOOKUP($A127,'Institution Evaluation'!$A$56:$K$345,3,0)&amp;""</f>
        <v xml:space="preserve">We are a Maryland based corporation with a convertible note from Conscoius Venture Fund II. Our team is one full time employee, one unpaid CEO/Founder, one part time growth role, and three outsourced development partners (Brain-Station 23, AWS Contractor, Tech Worm LLC) </v>
      </c>
      <c r="D127" s="45" t="str">
        <f>VLOOKUP($A127,'Institution Evaluation'!$A$56:$K$345,4,0)&amp;""</f>
        <v/>
      </c>
      <c r="E127" s="330" t="str">
        <f>VLOOKUP($A127,'Institution Evaluation'!$A$56:$K$345,5,0)&amp;""</f>
        <v>Include circumstances that may involve offshoring or multinational agreements.</v>
      </c>
      <c r="F127" s="188" t="str">
        <f>VLOOKUP($A127,'Institution Evaluation'!$A$56:$K$345,6,0)&amp;""</f>
        <v/>
      </c>
      <c r="G127" s="30" t="str">
        <f>VLOOKUP($A127,'Institution Evaluation'!$A$56:$K$345,7,0)&amp;""</f>
        <v>Not scored</v>
      </c>
      <c r="H127" s="185" t="str">
        <f>VLOOKUP($A127,'Institution Evaluation'!$A$56:$K$345,8,0)&amp;""</f>
        <v/>
      </c>
      <c r="I127" s="45" t="str">
        <f>VLOOKUP($A127,'Institution Evaluation'!$A$56:$K$345,9,0)&amp;""</f>
        <v/>
      </c>
      <c r="J127" s="186" t="str">
        <f>VLOOKUP($A127,'Institution Evaluation'!$A$56:$K$345,10,0)&amp;""</f>
        <v/>
      </c>
      <c r="K127" s="48" t="str">
        <f>IF(VLOOKUP($A127,'Institution Evaluation'!$A$56:$K$345,10,0)=TRUE,'Auto Responses'!$J$3,"")</f>
        <v/>
      </c>
    </row>
    <row r="128" spans="1:12" ht="32.4" x14ac:dyDescent="0.3">
      <c r="A128" s="19" t="s">
        <v>44</v>
      </c>
      <c r="B128" s="18" t="str">
        <f>VLOOKUP($A128,Questions!$A$2:$X$333,2,0)</f>
        <v>Have you operated without unplanned disruptions to this solution in the past 12 months?</v>
      </c>
      <c r="C128" s="45" t="str">
        <f>VLOOKUP($A128,'Institution Evaluation'!$A$56:$K$345,3,0)&amp;""</f>
        <v>No</v>
      </c>
      <c r="D128" s="45" t="str">
        <f>VLOOKUP($A128,'Institution Evaluation'!$A$56:$K$345,4,0)&amp;""</f>
        <v/>
      </c>
      <c r="E128" s="330" t="str">
        <f>VLOOKUP($A128,'Institution Evaluation'!$A$56:$K$345,5,0)&amp;""</f>
        <v>Provide a detailed summary of the unplanned disruption.</v>
      </c>
      <c r="F128" s="188" t="str">
        <f>VLOOKUP($A128,'Institution Evaluation'!$A$56:$K$345,6,0)&amp;""</f>
        <v/>
      </c>
      <c r="G128" s="30" t="str">
        <f>VLOOKUP($A128,'Institution Evaluation'!$A$56:$K$345,7,0)&amp;""</f>
        <v>Yes</v>
      </c>
      <c r="H128" s="185" t="str">
        <f>VLOOKUP($A128,'Institution Evaluation'!$A$56:$K$345,8,0)&amp;""</f>
        <v/>
      </c>
      <c r="I128" s="45" t="str">
        <f>VLOOKUP($A128,'Institution Evaluation'!$A$56:$K$345,9,0)&amp;""</f>
        <v>Minor Importance</v>
      </c>
      <c r="J128" s="186" t="str">
        <f>VLOOKUP($A128,'Institution Evaluation'!$A$56:$K$345,10,0)&amp;""</f>
        <v/>
      </c>
      <c r="K128" s="48" t="str">
        <f>IF(VLOOKUP($A128,'Institution Evaluation'!$A$56:$K$345,10,0)=TRUE,'Auto Responses'!$J$3,"")</f>
        <v/>
      </c>
    </row>
    <row r="129" spans="1:11" ht="129.6" x14ac:dyDescent="0.3">
      <c r="A129" s="19" t="s">
        <v>45</v>
      </c>
      <c r="B129" s="18" t="str">
        <f>VLOOKUP($A129,Questions!$A$2:$X$333,2,0)</f>
        <v>Do you have a dedicated information security staff or office?</v>
      </c>
      <c r="C129" s="45" t="str">
        <f>VLOOKUP($A129,'Institution Evaluation'!$A$56:$K$345,3,0)&amp;""</f>
        <v>Yes</v>
      </c>
      <c r="D129" s="45" t="str">
        <f>VLOOKUP($A129,'Institution Evaluation'!$A$56:$K$345,4,0)&amp;""</f>
        <v>Joseph Thibault serves as named Information Security Officer; AWS engineering contractor (India) supports security implementation under direct supervision.</v>
      </c>
      <c r="E129" s="330" t="str">
        <f>VLOOKUP($A129,'Institution Evaluation'!$A$56:$K$345,5,0)&amp;""</f>
        <v>Describe your information security office, including size, talents, resources, etc.</v>
      </c>
      <c r="F129" s="188" t="str">
        <f>VLOOKUP($A129,'Institution Evaluation'!$A$56:$K$345,6,0)&amp;""</f>
        <v/>
      </c>
      <c r="G129" s="30" t="str">
        <f>VLOOKUP($A129,'Institution Evaluation'!$A$56:$K$345,7,0)&amp;""</f>
        <v>Yes</v>
      </c>
      <c r="H129" s="185" t="str">
        <f>VLOOKUP($A129,'Institution Evaluation'!$A$56:$K$345,8,0)&amp;""</f>
        <v/>
      </c>
      <c r="I129" s="45" t="str">
        <f>VLOOKUP($A129,'Institution Evaluation'!$A$56:$K$345,9,0)&amp;""</f>
        <v>Minor Importance</v>
      </c>
      <c r="J129" s="186" t="str">
        <f>VLOOKUP($A129,'Institution Evaluation'!$A$56:$K$345,10,0)&amp;""</f>
        <v/>
      </c>
      <c r="K129" s="48" t="str">
        <f>IF(VLOOKUP($A129,'Institution Evaluation'!$A$56:$K$345,10,0)=TRUE,'Auto Responses'!$J$3,"")</f>
        <v/>
      </c>
    </row>
    <row r="130" spans="1:11" s="1" customFormat="1" ht="17.399999999999999" x14ac:dyDescent="0.25">
      <c r="A130" s="63" t="str">
        <f>VLOOKUP(LEFT($A131,4),'Auto Responses'!$N$4:$O$38,2,0)&amp;""</f>
        <v xml:space="preserve"> Required Questions</v>
      </c>
      <c r="B130" s="22"/>
      <c r="C130" s="31"/>
      <c r="D130" s="31"/>
      <c r="E130" s="331"/>
      <c r="F130" s="132" t="s">
        <v>1030</v>
      </c>
      <c r="G130" s="335" t="s">
        <v>869</v>
      </c>
      <c r="H130" s="335" t="s">
        <v>871</v>
      </c>
      <c r="I130" s="335" t="s">
        <v>19</v>
      </c>
      <c r="J130" s="335" t="s">
        <v>856</v>
      </c>
      <c r="K130" s="31"/>
    </row>
    <row r="131" spans="1:11" ht="81" x14ac:dyDescent="0.3">
      <c r="A131" s="19" t="s">
        <v>58</v>
      </c>
      <c r="B131" s="18" t="str">
        <f>VLOOKUP($A131,Questions!$A$2:$X$333,2,0)</f>
        <v>Does your solution have AI features, or are there plans to implement AI features in the next 12 months?</v>
      </c>
      <c r="C131" s="45" t="str">
        <f>VLOOKUP($A131,'Institution Evaluation'!$A$56:$K$345,3,0)&amp;""</f>
        <v>Yes</v>
      </c>
      <c r="D131" s="45" t="str">
        <f>VLOOKUP($A131,'Institution Evaluation'!$A$56:$K$345,4,0)&amp;""</f>
        <v>We leverage two proprietary machine learning models, keyread and copy-behavior.</v>
      </c>
      <c r="E131" s="330" t="str">
        <f>VLOOKUP($A131,'Institution Evaluation'!$A$56:$K$345,5,0)&amp;""</f>
        <v>DO complete the Artificial Intelligence (AI) worksheet</v>
      </c>
      <c r="F131" s="188" t="str">
        <f>VLOOKUP($A131,'Institution Evaluation'!$A$56:$K$345,6,0)&amp;""</f>
        <v/>
      </c>
      <c r="G131" s="30" t="str">
        <f>VLOOKUP($A131,'Institution Evaluation'!$A$56:$K$345,7,0)&amp;""</f>
        <v>Not scored</v>
      </c>
      <c r="H131" s="185" t="str">
        <f>VLOOKUP($A131,'Institution Evaluation'!$A$56:$K$345,8,0)&amp;""</f>
        <v/>
      </c>
      <c r="I131" s="45" t="str">
        <f>VLOOKUP($A131,'Institution Evaluation'!$A$56:$K$345,9,0)&amp;""</f>
        <v/>
      </c>
      <c r="J131" s="186" t="str">
        <f>VLOOKUP($A131,'Institution Evaluation'!$A$56:$K$345,10,0)&amp;""</f>
        <v/>
      </c>
      <c r="K131" s="48" t="str">
        <f>IF(VLOOKUP($A131,'Institution Evaluation'!$A$56:$K$345,10,0)=TRUE,'Auto Responses'!$J$3,"")</f>
        <v/>
      </c>
    </row>
    <row r="132" spans="1:11" ht="48.6" x14ac:dyDescent="0.3">
      <c r="A132" s="19" t="s">
        <v>61</v>
      </c>
      <c r="B132" s="18" t="str">
        <f>VLOOKUP($A132,Questions!$A$2:$X$333,2,0)</f>
        <v>Does your solution process protected health information (PHI) or any data covered by the Health Insurance Portability and Accountability Act (HIPAA)?</v>
      </c>
      <c r="C132" s="45" t="str">
        <f>VLOOKUP($A132,'Institution Evaluation'!$A$56:$K$345,3,0)&amp;""</f>
        <v>No</v>
      </c>
      <c r="D132" s="45" t="str">
        <f>VLOOKUP($A132,'Institution Evaluation'!$A$56:$K$345,4,0)&amp;""</f>
        <v/>
      </c>
      <c r="E132" s="330" t="str">
        <f>VLOOKUP($A132,'Institution Evaluation'!$A$56:$K$345,5,0)&amp;""</f>
        <v>DO NOT complete the HIPAA section in the Case-Specific worksheet</v>
      </c>
      <c r="F132" s="188" t="str">
        <f>VLOOKUP($A132,'Institution Evaluation'!$A$56:$K$345,6,0)&amp;""</f>
        <v/>
      </c>
      <c r="G132" s="30" t="str">
        <f>VLOOKUP($A132,'Institution Evaluation'!$A$56:$K$345,7,0)&amp;""</f>
        <v>Not scored</v>
      </c>
      <c r="H132" s="185" t="str">
        <f>VLOOKUP($A132,'Institution Evaluation'!$A$56:$K$345,8,0)&amp;""</f>
        <v/>
      </c>
      <c r="I132" s="45" t="str">
        <f>VLOOKUP($A132,'Institution Evaluation'!$A$56:$K$345,9,0)&amp;""</f>
        <v/>
      </c>
      <c r="J132" s="186" t="str">
        <f>VLOOKUP($A132,'Institution Evaluation'!$A$56:$K$345,10,0)&amp;""</f>
        <v/>
      </c>
      <c r="K132" s="48" t="str">
        <f>IF(VLOOKUP($A132,'Institution Evaluation'!$A$56:$K$345,10,0)=TRUE,'Auto Responses'!$J$3,"")</f>
        <v/>
      </c>
    </row>
    <row r="133" spans="1:11" ht="48.6" x14ac:dyDescent="0.3">
      <c r="A133" s="19" t="s">
        <v>64</v>
      </c>
      <c r="B133" s="18" t="str">
        <f>VLOOKUP($A133,Questions!$A$2:$X$333,2,0)</f>
        <v>Is the solution designed to process, store, or transmit credit card information?</v>
      </c>
      <c r="C133" s="45" t="str">
        <f>VLOOKUP($A133,'Institution Evaluation'!$A$56:$K$345,3,0)&amp;""</f>
        <v>No</v>
      </c>
      <c r="D133" s="45" t="str">
        <f>VLOOKUP($A133,'Institution Evaluation'!$A$56:$K$345,4,0)&amp;""</f>
        <v/>
      </c>
      <c r="E133" s="330" t="str">
        <f>VLOOKUP($A133,'Institution Evaluation'!$A$56:$K$345,5,0)&amp;""</f>
        <v>DO NOT complete the PCI-DSS section in the Case-Specific worksheet</v>
      </c>
      <c r="F133" s="188" t="str">
        <f>VLOOKUP($A133,'Institution Evaluation'!$A$56:$K$345,6,0)&amp;""</f>
        <v/>
      </c>
      <c r="G133" s="30" t="str">
        <f>VLOOKUP($A133,'Institution Evaluation'!$A$56:$K$345,7,0)&amp;""</f>
        <v>Not scored</v>
      </c>
      <c r="H133" s="185" t="str">
        <f>VLOOKUP($A133,'Institution Evaluation'!$A$56:$K$345,8,0)&amp;""</f>
        <v/>
      </c>
      <c r="I133" s="45" t="str">
        <f>VLOOKUP($A133,'Institution Evaluation'!$A$56:$K$345,9,0)&amp;""</f>
        <v/>
      </c>
      <c r="J133" s="186" t="str">
        <f>VLOOKUP($A133,'Institution Evaluation'!$A$56:$K$345,10,0)&amp;""</f>
        <v/>
      </c>
      <c r="K133" s="48" t="str">
        <f>IF(VLOOKUP($A133,'Institution Evaluation'!$A$56:$K$345,10,0)=TRUE,'Auto Responses'!$J$3,"")</f>
        <v/>
      </c>
    </row>
    <row r="134" spans="1:11" ht="162" x14ac:dyDescent="0.3">
      <c r="A134" s="19" t="s">
        <v>968</v>
      </c>
      <c r="B134" s="18" t="str">
        <f>VLOOKUP($A134,Questions!$A$2:$X$333,2,0)</f>
        <v>Does your solution have access to personal or institutional data?</v>
      </c>
      <c r="C134" s="45" t="str">
        <f>VLOOKUP($A134,'Institution Evaluation'!$A$56:$K$345,3,0)&amp;""</f>
        <v>Yes</v>
      </c>
      <c r="D134" s="45" t="str">
        <f>VLOOKUP($A134,'Institution Evaluation'!$A$56:$K$345,4,0)&amp;""</f>
        <v xml:space="preserve">Institutionally collected data is relayed to our API for processing, this is the minimum data required for Cursive to perform it's contractual service: verification of authorship, and transparency in text creation. </v>
      </c>
      <c r="E134" s="330" t="str">
        <f>VLOOKUP($A134,'Institution Evaluation'!$A$56:$K$345,5,0)&amp;""</f>
        <v>DO complete the Privacy tab</v>
      </c>
      <c r="F134" s="188" t="str">
        <f>VLOOKUP($A134,'Institution Evaluation'!$A$56:$K$345,6,0)&amp;""</f>
        <v/>
      </c>
      <c r="G134" s="30" t="str">
        <f>VLOOKUP($A134,'Institution Evaluation'!$A$56:$K$345,7,0)&amp;""</f>
        <v>Not scored</v>
      </c>
      <c r="H134" s="185" t="str">
        <f>VLOOKUP($A134,'Institution Evaluation'!$A$56:$K$345,8,0)&amp;""</f>
        <v/>
      </c>
      <c r="I134" s="45" t="str">
        <f>VLOOKUP($A134,'Institution Evaluation'!$A$56:$K$345,9,0)&amp;""</f>
        <v/>
      </c>
      <c r="J134" s="186" t="str">
        <f>VLOOKUP($A134,'Institution Evaluation'!$A$56:$K$345,10,0)&amp;""</f>
        <v/>
      </c>
      <c r="K134" s="48" t="str">
        <f>IF(VLOOKUP($A134,'Institution Evaluation'!$A$56:$K$345,10,0)=TRUE,'Auto Responses'!$J$3,"")</f>
        <v/>
      </c>
    </row>
    <row r="135" spans="1:11" s="1" customFormat="1" ht="17.399999999999999" x14ac:dyDescent="0.25">
      <c r="A135" s="63" t="str">
        <f>VLOOKUP(LEFT($A136,4),'Auto Responses'!$N$4:$O$38,2,0)&amp;""</f>
        <v xml:space="preserve"> Documentation</v>
      </c>
      <c r="B135" s="22"/>
      <c r="C135" s="31"/>
      <c r="D135" s="31"/>
      <c r="E135" s="331"/>
      <c r="F135" s="132" t="s">
        <v>1030</v>
      </c>
      <c r="G135" s="335" t="s">
        <v>869</v>
      </c>
      <c r="H135" s="335" t="s">
        <v>871</v>
      </c>
      <c r="I135" s="335" t="s">
        <v>19</v>
      </c>
      <c r="J135" s="335" t="s">
        <v>856</v>
      </c>
      <c r="K135" s="31"/>
    </row>
    <row r="136" spans="1:11" ht="64.8" x14ac:dyDescent="0.3">
      <c r="A136" s="19" t="s">
        <v>70</v>
      </c>
      <c r="B136" s="18" t="str">
        <f>VLOOKUP($A136,Questions!$A$2:$X$333,2,0)</f>
        <v>Do you have a well-documented business continuity plan (BCP), with a clear owner, that is tested annually?*</v>
      </c>
      <c r="C136" s="45" t="str">
        <f>VLOOKUP($A136,'Institution Evaluation'!$A$56:$K$345,3,0)&amp;""</f>
        <v>Yes</v>
      </c>
      <c r="D136" s="45" t="str">
        <f>VLOOKUP($A136,'Institution Evaluation'!$A$56:$K$345,4,0)&amp;""</f>
        <v>Cursive Technology Policies, Procedures, &amp; Information Security Policy</v>
      </c>
      <c r="E136" s="330" t="str">
        <f>VLOOKUP($A136,'Institution Evaluation'!$A$56:$K$345,5,0)&amp;""</f>
        <v/>
      </c>
      <c r="F136" s="188" t="str">
        <f>VLOOKUP($A136,'Institution Evaluation'!$A$56:$K$345,6,0)&amp;""</f>
        <v/>
      </c>
      <c r="G136" s="30" t="str">
        <f>VLOOKUP($A136,'Institution Evaluation'!$A$56:$K$345,7,0)&amp;""</f>
        <v>Yes</v>
      </c>
      <c r="H136" s="185" t="str">
        <f>VLOOKUP($A136,'Institution Evaluation'!$A$56:$K$345,8,0)&amp;""</f>
        <v/>
      </c>
      <c r="I136" s="45" t="str">
        <f>VLOOKUP($A136,'Institution Evaluation'!$A$56:$K$345,9,0)&amp;""</f>
        <v>Critical Importance</v>
      </c>
      <c r="J136" s="186" t="str">
        <f>VLOOKUP($A136,'Institution Evaluation'!$A$56:$K$345,10,0)&amp;""</f>
        <v/>
      </c>
      <c r="K136" s="48" t="str">
        <f>IF(VLOOKUP($A136,'Institution Evaluation'!$A$56:$K$345,10,0)=TRUE,'Auto Responses'!$J$3,"")</f>
        <v/>
      </c>
    </row>
    <row r="137" spans="1:11" ht="226.8" x14ac:dyDescent="0.3">
      <c r="A137" s="19" t="s">
        <v>77</v>
      </c>
      <c r="B137" s="18" t="str">
        <f>VLOOKUP($A137,Questions!$A$2:$X$333,2,0)</f>
        <v>Have you undergone a SSAE 18/SOC 2 audit?</v>
      </c>
      <c r="C137" s="45" t="str">
        <f>VLOOKUP($A137,'Institution Evaluation'!$A$56:$K$345,3,0)&amp;""</f>
        <v>No</v>
      </c>
      <c r="D137" s="45" t="str">
        <f>VLOOKUP($A137,'Institution Evaluation'!$A$56:$K$345,4,0)&amp;""</f>
        <v>Not yet pursued. AWS infrastructure (which underlies Cursive's environment) is SOC 2 Type 2 certified. Cursive has hired a dedicated AWS EKS engineer building infrastructure-from-scratch with the explicit goal of achieving AWS security certification followed by SOC 1/SOC 2 attestation.</v>
      </c>
      <c r="E137" s="330" t="str">
        <f>VLOOKUP($A137,'Institution Evaluation'!$A$56:$K$345,5,0)&amp;""</f>
        <v>Describe any plans to undergo a SSAE 18 audit.</v>
      </c>
      <c r="F137" s="188" t="str">
        <f>VLOOKUP($A137,'Institution Evaluation'!$A$56:$K$345,6,0)&amp;""</f>
        <v/>
      </c>
      <c r="G137" s="30" t="str">
        <f>VLOOKUP($A137,'Institution Evaluation'!$A$56:$K$345,7,0)&amp;""</f>
        <v>Yes</v>
      </c>
      <c r="H137" s="185" t="str">
        <f>VLOOKUP($A137,'Institution Evaluation'!$A$56:$K$345,8,0)&amp;""</f>
        <v/>
      </c>
      <c r="I137" s="45" t="str">
        <f>VLOOKUP($A137,'Institution Evaluation'!$A$56:$K$345,9,0)&amp;""</f>
        <v>Standard Importance</v>
      </c>
      <c r="J137" s="186" t="str">
        <f>VLOOKUP($A137,'Institution Evaluation'!$A$56:$K$345,10,0)&amp;""</f>
        <v/>
      </c>
      <c r="K137" s="48" t="str">
        <f>IF(VLOOKUP($A137,'Institution Evaluation'!$A$56:$K$345,10,0)=TRUE,'Auto Responses'!$J$3,"")</f>
        <v/>
      </c>
    </row>
    <row r="138" spans="1:11" ht="81" x14ac:dyDescent="0.3">
      <c r="A138" s="19" t="s">
        <v>80</v>
      </c>
      <c r="B138" s="18" t="str">
        <f>VLOOKUP($A138,Questions!$A$2:$X$333,2,0)</f>
        <v>Do you conform with a specific industry standard security framework (e.g., NIST Cybersecurity Framework, CIS Controls, ISO 27001, etc.)?</v>
      </c>
      <c r="C138" s="45" t="str">
        <f>VLOOKUP($A138,'Institution Evaluation'!$A$56:$K$345,3,0)&amp;""</f>
        <v>No</v>
      </c>
      <c r="D138" s="45" t="str">
        <f>VLOOKUP($A138,'Institution Evaluation'!$A$56:$K$345,4,0)&amp;""</f>
        <v>We align with NIST 800-53 controls in our policy framework but have not pursued certification.</v>
      </c>
      <c r="E138" s="330" t="str">
        <f>VLOOKUP($A138,'Institution Evaluation'!$A$56:$K$345,5,0)&amp;""</f>
        <v>Describe any plans to conform to an industry standard security framework.</v>
      </c>
      <c r="F138" s="188" t="str">
        <f>VLOOKUP($A138,'Institution Evaluation'!$A$56:$K$345,6,0)&amp;""</f>
        <v/>
      </c>
      <c r="G138" s="30" t="str">
        <f>VLOOKUP($A138,'Institution Evaluation'!$A$56:$K$345,7,0)&amp;""</f>
        <v>Yes</v>
      </c>
      <c r="H138" s="185" t="str">
        <f>VLOOKUP($A138,'Institution Evaluation'!$A$56:$K$345,8,0)&amp;""</f>
        <v/>
      </c>
      <c r="I138" s="45" t="str">
        <f>VLOOKUP($A138,'Institution Evaluation'!$A$56:$K$345,9,0)&amp;""</f>
        <v>Standard Importance</v>
      </c>
      <c r="J138" s="186" t="str">
        <f>VLOOKUP($A138,'Institution Evaluation'!$A$56:$K$345,10,0)&amp;""</f>
        <v/>
      </c>
      <c r="K138" s="48" t="str">
        <f>IF(VLOOKUP($A138,'Institution Evaluation'!$A$56:$K$345,10,0)=TRUE,'Auto Responses'!$J$3,"")</f>
        <v/>
      </c>
    </row>
    <row r="139" spans="1:11" ht="145.80000000000001" x14ac:dyDescent="0.3">
      <c r="A139" s="19" t="s">
        <v>84</v>
      </c>
      <c r="B139" s="18" t="str">
        <f>VLOOKUP($A139,Questions!$A$2:$X$333,2,0)</f>
        <v>Can you provide overall system and/or application architecture diagrams, including a full description of the data flow for all components of the system?</v>
      </c>
      <c r="C139" s="45" t="str">
        <f>VLOOKUP($A139,'Institution Evaluation'!$A$56:$K$345,3,0)&amp;""</f>
        <v>Yes</v>
      </c>
      <c r="D139" s="45" t="str">
        <f>VLOOKUP($A139,'Institution Evaluation'!$A$56:$K$345,4,0)&amp;""</f>
        <v>Available at https://cursive-shared.s3.us-east-1.amazonaws.com/Cursive+Information+System+%26+Baseline+Configuration.pdf — under refresh as part of EKS migration</v>
      </c>
      <c r="E139" s="330" t="str">
        <f>VLOOKUP($A139,'Institution Evaluation'!$A$56:$K$345,5,0)&amp;""</f>
        <v>Provide your diagrams (or a valid link to it) upon submission.</v>
      </c>
      <c r="F139" s="188" t="str">
        <f>VLOOKUP($A139,'Institution Evaluation'!$A$56:$K$345,6,0)&amp;""</f>
        <v/>
      </c>
      <c r="G139" s="30" t="str">
        <f>VLOOKUP($A139,'Institution Evaluation'!$A$56:$K$345,7,0)&amp;""</f>
        <v>Yes</v>
      </c>
      <c r="H139" s="185" t="str">
        <f>VLOOKUP($A139,'Institution Evaluation'!$A$56:$K$345,8,0)&amp;""</f>
        <v/>
      </c>
      <c r="I139" s="45" t="str">
        <f>VLOOKUP($A139,'Institution Evaluation'!$A$56:$K$345,9,0)&amp;""</f>
        <v>Standard Importance</v>
      </c>
      <c r="J139" s="186" t="str">
        <f>VLOOKUP($A139,'Institution Evaluation'!$A$56:$K$345,10,0)&amp;""</f>
        <v/>
      </c>
      <c r="K139" s="48" t="str">
        <f>IF(VLOOKUP($A139,'Institution Evaluation'!$A$56:$K$345,10,0)=TRUE,'Auto Responses'!$J$3,"")</f>
        <v/>
      </c>
    </row>
    <row r="140" spans="1:11" ht="48.6" x14ac:dyDescent="0.3">
      <c r="A140" s="19" t="s">
        <v>88</v>
      </c>
      <c r="B140" s="18" t="str">
        <f>VLOOKUP($A140,Questions!$A$2:$X$333,2,0)</f>
        <v>Does your organization have a data privacy policy?</v>
      </c>
      <c r="C140" s="45" t="str">
        <f>VLOOKUP($A140,'Institution Evaluation'!$A$56:$K$345,3,0)&amp;""</f>
        <v>Yes</v>
      </c>
      <c r="D140" s="45" t="str">
        <f>VLOOKUP($A140,'Institution Evaluation'!$A$56:$K$345,4,0)&amp;""</f>
        <v>https://cursivetechnology.com/privacy-policy/</v>
      </c>
      <c r="E140" s="330" t="str">
        <f>VLOOKUP($A140,'Institution Evaluation'!$A$56:$K$345,5,0)&amp;""</f>
        <v>Provide your data privacy document (or a valid link to it) upon submission.</v>
      </c>
      <c r="F140" s="188" t="str">
        <f>VLOOKUP($A140,'Institution Evaluation'!$A$56:$K$345,6,0)&amp;""</f>
        <v/>
      </c>
      <c r="G140" s="30" t="str">
        <f>VLOOKUP($A140,'Institution Evaluation'!$A$56:$K$345,7,0)&amp;""</f>
        <v>Yes</v>
      </c>
      <c r="H140" s="185" t="str">
        <f>VLOOKUP($A140,'Institution Evaluation'!$A$56:$K$345,8,0)&amp;""</f>
        <v/>
      </c>
      <c r="I140" s="45" t="str">
        <f>VLOOKUP($A140,'Institution Evaluation'!$A$56:$K$345,9,0)&amp;""</f>
        <v>Standard Importance</v>
      </c>
      <c r="J140" s="186" t="str">
        <f>VLOOKUP($A140,'Institution Evaluation'!$A$56:$K$345,10,0)&amp;""</f>
        <v/>
      </c>
      <c r="K140" s="48" t="str">
        <f>IF(VLOOKUP($A140,'Institution Evaluation'!$A$56:$K$345,10,0)=TRUE,'Auto Responses'!$J$3,"")</f>
        <v/>
      </c>
    </row>
    <row r="141" spans="1:11" ht="97.2" x14ac:dyDescent="0.3">
      <c r="A141" s="19" t="s">
        <v>92</v>
      </c>
      <c r="B141" s="18" t="str">
        <f>VLOOKUP($A141,Questions!$A$2:$X$333,2,0)</f>
        <v>Do you have a documented, and currently implemented, employee onboarding and offboarding policy?</v>
      </c>
      <c r="C141" s="45" t="str">
        <f>VLOOKUP($A141,'Institution Evaluation'!$A$56:$K$345,3,0)&amp;""</f>
        <v>Yes</v>
      </c>
      <c r="D141" s="45" t="str">
        <f>VLOOKUP($A141,'Institution Evaluation'!$A$56:$K$345,4,0)&amp;""</f>
        <v xml:space="preserve">Cursive Technology Policies, Procedures, &amp; Information Security Policy </v>
      </c>
      <c r="E141" s="330" t="str">
        <f>VLOOKUP($A141,'Institution Evaluation'!$A$56:$K$345,5,0)&amp;""</f>
        <v>Provide a reference to your employee onboarding and offboarding policy and supporting documentation or submit it along with this fully populated HECVAT.</v>
      </c>
      <c r="F141" s="188" t="str">
        <f>VLOOKUP($A141,'Institution Evaluation'!$A$56:$K$345,6,0)&amp;""</f>
        <v/>
      </c>
      <c r="G141" s="30" t="str">
        <f>VLOOKUP($A141,'Institution Evaluation'!$A$56:$K$345,7,0)&amp;""</f>
        <v>Yes</v>
      </c>
      <c r="H141" s="185" t="str">
        <f>VLOOKUP($A141,'Institution Evaluation'!$A$56:$K$345,8,0)&amp;""</f>
        <v/>
      </c>
      <c r="I141" s="45" t="str">
        <f>VLOOKUP($A141,'Institution Evaluation'!$A$56:$K$345,9,0)&amp;""</f>
        <v>Standard Importance</v>
      </c>
      <c r="J141" s="186" t="str">
        <f>VLOOKUP($A141,'Institution Evaluation'!$A$56:$K$345,10,0)&amp;""</f>
        <v/>
      </c>
      <c r="K141" s="48" t="str">
        <f>IF(VLOOKUP($A141,'Institution Evaluation'!$A$56:$K$345,10,0)=TRUE,'Auto Responses'!$J$3,"")</f>
        <v/>
      </c>
    </row>
    <row r="142" spans="1:11" s="1" customFormat="1" ht="17.399999999999999" x14ac:dyDescent="0.25">
      <c r="A142" s="63" t="str">
        <f>VLOOKUP(LEFT($A143,4),'Auto Responses'!$N$4:$O$38,2,0)&amp;""</f>
        <v xml:space="preserve"> IT Accessibility</v>
      </c>
      <c r="B142" s="22"/>
      <c r="C142" s="31"/>
      <c r="D142" s="31"/>
      <c r="E142" s="331"/>
      <c r="F142" s="132" t="s">
        <v>1030</v>
      </c>
      <c r="G142" s="335" t="s">
        <v>869</v>
      </c>
      <c r="H142" s="335" t="s">
        <v>871</v>
      </c>
      <c r="I142" s="335" t="s">
        <v>19</v>
      </c>
      <c r="J142" s="335" t="s">
        <v>856</v>
      </c>
      <c r="K142" s="31"/>
    </row>
    <row r="143" spans="1:11" ht="48.6" x14ac:dyDescent="0.3">
      <c r="A143" s="19" t="s">
        <v>97</v>
      </c>
      <c r="B143" s="18" t="str">
        <f>VLOOKUP($A143,Questions!$A$2:$X$333,2,0)</f>
        <v>Web Link to Accessibility Statement or VPAT</v>
      </c>
      <c r="C143" s="45" t="str">
        <f>VLOOKUP($A143,'Institution Evaluation'!$A$56:$K$345,3,0)&amp;""</f>
        <v>https://www.cursivetechnology.com/accessibility</v>
      </c>
      <c r="D143" s="45" t="str">
        <f>VLOOKUP($A143,'Institution Evaluation'!$A$56:$K$345,4,0)&amp;""</f>
        <v/>
      </c>
      <c r="E143" s="330" t="str">
        <f>VLOOKUP($A143,'Institution Evaluation'!$A$56:$K$345,5,0)&amp;""</f>
        <v>VPAT can also be added as an attachment</v>
      </c>
      <c r="F143" s="188" t="str">
        <f>VLOOKUP($A143,'Institution Evaluation'!$A$56:$K$345,6,0)&amp;""</f>
        <v/>
      </c>
      <c r="G143" s="30" t="str">
        <f>VLOOKUP($A143,'Institution Evaluation'!$A$56:$K$345,7,0)&amp;""</f>
        <v>Not scored</v>
      </c>
      <c r="H143" s="185" t="str">
        <f>VLOOKUP($A143,'Institution Evaluation'!$A$56:$K$345,8,0)&amp;""</f>
        <v/>
      </c>
      <c r="I143" s="45" t="str">
        <f>VLOOKUP($A143,'Institution Evaluation'!$A$56:$K$345,9,0)&amp;""</f>
        <v/>
      </c>
      <c r="J143" s="186" t="str">
        <f>VLOOKUP($A143,'Institution Evaluation'!$A$56:$K$345,10,0)&amp;""</f>
        <v/>
      </c>
      <c r="K143" s="48" t="str">
        <f>IF(VLOOKUP($A143,'Institution Evaluation'!$A$56:$K$345,10,0)=TRUE,'Auto Responses'!$J$3,"")</f>
        <v/>
      </c>
    </row>
    <row r="144" spans="1:11" ht="194.4" x14ac:dyDescent="0.3">
      <c r="A144" s="19" t="s">
        <v>103</v>
      </c>
      <c r="B144" s="18" t="str">
        <f>VLOOKUP($A144,Questions!$A$2:$X$333,2,0)</f>
        <v>Will your company agree to meet your stated accessibility standard or WCAG 2.1 AA as part of your contractual agreement for the solution?*</v>
      </c>
      <c r="C144" s="45" t="str">
        <f>VLOOKUP($A144,'Institution Evaluation'!$A$56:$K$345,3,0)&amp;""</f>
        <v>Yes</v>
      </c>
      <c r="D144" s="45" t="str">
        <f>VLOOKUP($A144,'Institution Evaluation'!$A$56:$K$345,4,0)&amp;""</f>
        <v>Cursive will commit contractually to its currently stated standard (WCAG 2.0 A) and to the documented roadmap toward WCAG 2.1 AA. Full contractual commitment to WCAG 2.1 AA is targeted following completion of the remediation work scoped in May 2026.</v>
      </c>
      <c r="E144" s="330" t="str">
        <f>VLOOKUP($A144,'Institution Evaluation'!$A$56:$K$345,5,0)&amp;""</f>
        <v/>
      </c>
      <c r="F144" s="188" t="str">
        <f>VLOOKUP($A144,'Institution Evaluation'!$A$56:$K$345,6,0)&amp;""</f>
        <v/>
      </c>
      <c r="G144" s="30" t="str">
        <f>VLOOKUP($A144,'Institution Evaluation'!$A$56:$K$345,7,0)&amp;""</f>
        <v>Yes</v>
      </c>
      <c r="H144" s="185" t="str">
        <f>VLOOKUP($A144,'Institution Evaluation'!$A$56:$K$345,8,0)&amp;""</f>
        <v/>
      </c>
      <c r="I144" s="45" t="str">
        <f>VLOOKUP($A144,'Institution Evaluation'!$A$56:$K$345,9,0)&amp;""</f>
        <v>Critical Importance</v>
      </c>
      <c r="J144" s="186" t="str">
        <f>VLOOKUP($A144,'Institution Evaluation'!$A$56:$K$345,10,0)&amp;""</f>
        <v/>
      </c>
      <c r="K144" s="48" t="str">
        <f>IF(VLOOKUP($A144,'Institution Evaluation'!$A$56:$K$345,10,0)=TRUE,'Auto Responses'!$J$3,"")</f>
        <v/>
      </c>
    </row>
    <row r="145" spans="1:11" s="1" customFormat="1" ht="17.399999999999999" x14ac:dyDescent="0.25">
      <c r="A145" s="63" t="str">
        <f>VLOOKUP(LEFT($A146,4),'Auto Responses'!$N$4:$O$38,2,0)&amp;""</f>
        <v xml:space="preserve"> Assessment of Third Parties</v>
      </c>
      <c r="B145" s="22"/>
      <c r="C145" s="31"/>
      <c r="D145" s="31"/>
      <c r="E145" s="331"/>
      <c r="F145" s="132" t="s">
        <v>1030</v>
      </c>
      <c r="G145" s="335" t="s">
        <v>869</v>
      </c>
      <c r="H145" s="335" t="s">
        <v>871</v>
      </c>
      <c r="I145" s="335" t="s">
        <v>19</v>
      </c>
      <c r="J145" s="335" t="s">
        <v>856</v>
      </c>
      <c r="K145" s="31"/>
    </row>
    <row r="146" spans="1:11" ht="409.6" x14ac:dyDescent="0.3">
      <c r="A146" s="19" t="s">
        <v>130</v>
      </c>
      <c r="B146" s="18" t="str">
        <f>VLOOKUP($A146,Questions!$A$2:$X$333,2,0)</f>
        <v>Do you perform security assessments of third-party companies with which you share data (e.g., hosting providers, cloud services, PaaS, IaaS, SaaS)?*</v>
      </c>
      <c r="C146" s="45" t="str">
        <f>VLOOKUP($A146,'Institution Evaluation'!$A$56:$K$345,3,0)&amp;""</f>
        <v>Yes</v>
      </c>
      <c r="D146" s="45" t="str">
        <f>VLOOKUP($A146,'Institution Evaluation'!$A$56:$K$345,4,0)&amp;""</f>
        <v>Cursive performs security assessment of third-party companies as part of subprocessor selection per the Cursive Vendor Management Policy. Evaluation criteria include: (1) third-party attestations (SOC 2 Type 2, ISO 27001, FedRAMP, HIPAA where applicable); (2) clear and publicly available privacy and security policies; (3) documentation supporting enterprise-level security practices; (4) regulatory compliance posture relevant to higher education (FERPA, state privacy laws, GDPR/PIPL where applicable); (5) data handling and breach notification commitments; (6) operational maturity indicators including support availability and incident response history. Subprocessors are reviewed at engagement and annually thereafter per the Cursive Compliance Policy and Procedure Review Calendar.</v>
      </c>
      <c r="E146" s="330" t="str">
        <f>VLOOKUP($A146,'Institution Evaluation'!$A$56:$K$345,5,0)&amp;""</f>
        <v>Provide a summary of your practices that assures that the third party will be subject to the appropriate standards regarding security, service recoverability, and confidentiality.</v>
      </c>
      <c r="F146" s="188" t="str">
        <f>VLOOKUP($A146,'Institution Evaluation'!$A$56:$K$345,6,0)&amp;""</f>
        <v/>
      </c>
      <c r="G146" s="30" t="str">
        <f>VLOOKUP($A146,'Institution Evaluation'!$A$56:$K$345,7,0)&amp;""</f>
        <v>Yes</v>
      </c>
      <c r="H146" s="185" t="str">
        <f>VLOOKUP($A146,'Institution Evaluation'!$A$56:$K$345,8,0)&amp;""</f>
        <v/>
      </c>
      <c r="I146" s="45" t="str">
        <f>VLOOKUP($A146,'Institution Evaluation'!$A$56:$K$345,9,0)&amp;""</f>
        <v>Critical Importance</v>
      </c>
      <c r="J146" s="186" t="str">
        <f>VLOOKUP($A146,'Institution Evaluation'!$A$56:$K$345,10,0)&amp;""</f>
        <v/>
      </c>
      <c r="K146" s="48" t="str">
        <f>IF(VLOOKUP($A146,'Institution Evaluation'!$A$56:$K$345,10,0)=TRUE,'Auto Responses'!$J$3,"")</f>
        <v/>
      </c>
    </row>
    <row r="147" spans="1:11" ht="409.6" x14ac:dyDescent="0.3">
      <c r="A147" s="19" t="s">
        <v>134</v>
      </c>
      <c r="B147" s="18" t="str">
        <f>VLOOKUP($A147,Questions!$A$2:$X$333,2,0)</f>
        <v>Do you have contractual language in place with third parties governing access to institutional data?*</v>
      </c>
      <c r="C147" s="45" t="str">
        <f>VLOOKUP($A147,'Institution Evaluation'!$A$56:$K$345,3,0)&amp;""</f>
        <v>Yes</v>
      </c>
      <c r="D147" s="45" t="str">
        <f>VLOOKUP($A147,'Institution Evaluation'!$A$56:$K$345,4,0)&amp;""</f>
        <v>Cursive maintains contractual language governing third-party access to institutional data with all subprocessors that have any access to Cursive infrastructure or data flows. Standard contractual provisions include:
— Confidentiality and non-disclosure obligations covering institutional data and Cursive proprietary information;
— Data use limitations restricting use to the agreed service purpose only — no use of institutional data for marketing, advertising, training of subprocessor models, or any purpose beyond the engagement scope;
— Access controls requiring AWS IAM least-privilege scoping and MFA on all administrative access;
— For offshore engineering subprocessors (Brain-Station 23, AWS engineering contractor, Tech Worm LLC): explicit prohibition on use of institutional client data in any AI/ML training, scoping of access to non-production environments by default, and contractual restrictions on data export from US AWS regions;
— Notification obligations requiring subprocessor notice of any data security incident affecting institutional data;
— Audit and review rights enabling Cursive to verify subprocessor compliance;
— Termination provisions requiring secure data deletion at engagement end.
For AWS, contractual provisions flow through the AWS Customer Agreement and applicable Service Terms, including the AWS Data Processing Addendum where relevant. Subprocessor agreements are reviewed annually per the Cursive Compliance Policy and Procedure Review Calendar.</v>
      </c>
      <c r="E147" s="330" t="str">
        <f>VLOOKUP($A147,'Institution Evaluation'!$A$56:$K$345,5,0)&amp;""</f>
        <v>List each third party and why institutional data is shared with them. Format example: [Third Party Name] - Reason</v>
      </c>
      <c r="F147" s="188" t="str">
        <f>VLOOKUP($A147,'Institution Evaluation'!$A$56:$K$345,6,0)&amp;""</f>
        <v/>
      </c>
      <c r="G147" s="30" t="str">
        <f>VLOOKUP($A147,'Institution Evaluation'!$A$56:$K$345,7,0)&amp;""</f>
        <v>Yes</v>
      </c>
      <c r="H147" s="185" t="str">
        <f>VLOOKUP($A147,'Institution Evaluation'!$A$56:$K$345,8,0)&amp;""</f>
        <v/>
      </c>
      <c r="I147" s="45" t="str">
        <f>VLOOKUP($A147,'Institution Evaluation'!$A$56:$K$345,9,0)&amp;""</f>
        <v>Critical Importance</v>
      </c>
      <c r="J147" s="186" t="str">
        <f>VLOOKUP($A147,'Institution Evaluation'!$A$56:$K$345,10,0)&amp;""</f>
        <v/>
      </c>
      <c r="K147" s="48" t="str">
        <f>IF(VLOOKUP($A147,'Institution Evaluation'!$A$56:$K$345,10,0)=TRUE,'Auto Responses'!$J$3,"")</f>
        <v/>
      </c>
    </row>
    <row r="148" spans="1:11" ht="409.6" x14ac:dyDescent="0.3">
      <c r="A148" s="19" t="s">
        <v>136</v>
      </c>
      <c r="B148" s="18" t="str">
        <f>VLOOKUP($A148,Questions!$A$2:$X$333,2,0)</f>
        <v>Do the contracts in place with these third parties address liability in the event of a data breach?*</v>
      </c>
      <c r="C148" s="45" t="str">
        <f>VLOOKUP($A148,'Institution Evaluation'!$A$56:$K$345,3,0)&amp;""</f>
        <v>No</v>
      </c>
      <c r="D148" s="45" t="str">
        <f>VLOOKUP($A148,'Institution Evaluation'!$A$56:$K$345,4,0)&amp;""</f>
        <v>Partly - Breach liability provisions vary by subprocessor based on the engagement scope and contract maturity:
AWS (primary infrastructure subprocessor): Comprehensive breach notification and liability provisions are in place through the AWS Customer Agreement, AWS Service Terms, and AWS Data Processing Addendum. AWS commits to standard breach notification timelines and supports downstream institutional notification commitments. AWS-side breach liability is governed by AWS's standard contractual terms applicable to all AWS customers.
Offshore engineering subprocessors (Brain-Station 23, AWS engineering contractor, Tech Worm LLC): Engagement agreements include NDA, confidentiality, and data-use limitation provisions. Explicit data breach notification timelines and quantified liability allocation provisions specific to security incidents are not currently uniformly documented in these subprocessor agreements. Practical breach risk is materially limited by the access architecture — these subprocessors operate in code/staging environments via AWS IAM least-privilege scoping and do not have standing access to institutional production data — but the contractual liability framework for breach scenarios is recognized as an area requiring formalization.
Operational SaaS subprocessors (Google Workspace, GitHub, Linear, Bitwarden, KnowBe4, Checkr, The Hanover): Breach liability is governed by each provider's standard customer agreement and applicable Data Processing Addendum where institutional data could theoretically be implicated. These subprocessors do not have access to institutional production data; their contracts cover data Cursive directly stores with them (internal documentation, source code, etc.) rather than institutional pass-through data.</v>
      </c>
      <c r="E148" s="330" t="str">
        <f>VLOOKUP($A148,'Institution Evaluation'!$A$56:$K$345,5,0)&amp;""</f>
        <v/>
      </c>
      <c r="F148" s="188" t="str">
        <f>VLOOKUP($A148,'Institution Evaluation'!$A$56:$K$345,6,0)&amp;""</f>
        <v/>
      </c>
      <c r="G148" s="30" t="str">
        <f>VLOOKUP($A148,'Institution Evaluation'!$A$56:$K$345,7,0)&amp;""</f>
        <v>Yes</v>
      </c>
      <c r="H148" s="185" t="str">
        <f>VLOOKUP($A148,'Institution Evaluation'!$A$56:$K$345,8,0)&amp;""</f>
        <v/>
      </c>
      <c r="I148" s="45" t="str">
        <f>VLOOKUP($A148,'Institution Evaluation'!$A$56:$K$345,9,0)&amp;""</f>
        <v>Critical Importance</v>
      </c>
      <c r="J148" s="186" t="str">
        <f>VLOOKUP($A148,'Institution Evaluation'!$A$56:$K$345,10,0)&amp;""</f>
        <v/>
      </c>
      <c r="K148" s="48" t="str">
        <f>IF(VLOOKUP($A148,'Institution Evaluation'!$A$56:$K$345,10,0)=TRUE,'Auto Responses'!$J$3,"")</f>
        <v/>
      </c>
    </row>
    <row r="149" spans="1:11" ht="409.6" x14ac:dyDescent="0.3">
      <c r="A149" s="19" t="s">
        <v>137</v>
      </c>
      <c r="B149" s="18" t="str">
        <f>VLOOKUP($A149,Questions!$A$2:$X$333,2,0)</f>
        <v>Do you have an implemented third-party management strategy?*</v>
      </c>
      <c r="C149" s="45" t="str">
        <f>VLOOKUP($A149,'Institution Evaluation'!$A$56:$K$345,3,0)&amp;""</f>
        <v>Yes</v>
      </c>
      <c r="D149" s="45" t="str">
        <f>VLOOKUP($A149,'Institution Evaluation'!$A$56:$K$345,4,0)&amp;""</f>
        <v>Cursive maintains an implemented third-party management strategy per the Cursive Vendor Management Policy. Strategy components include:
— Documented vendor selection criteria emphasizing third-party attestations, security posture, regulatory alignment, and data handling commitments;
— Direct engagement with primary infrastructure providers (notably AWS) for tooling, security, and operational decisions, ensuring Cursive is positioned to leverage current best practices;
— Tiered vendor categorization: critical infrastructure subprocessors (AWS), data-adjacent subprocessors (offshore engineering teams with code/staging access), operational subprocessors (Google Workspace, GitHub, Linear, Bitwarden, KnowBe4, Checkr, The Hanover);
— Annual review of all subprocessors for continued alignment with Cursive's security and operational requirements per the Cursive Compliance Policy and Procedure Review Calendar;
— Proactive monitoring of supply chain tool updates and long-term support plans;
— Documented offboarding procedures for subprocessor termination including credential revocation, data return/deletion verification, and access audit;
— Inventory management with proactive monitoring of technology suite to ensure long lead times for any discontinued or deprecated products.</v>
      </c>
      <c r="E149" s="330" t="str">
        <f>VLOOKUP($A149,'Institution Evaluation'!$A$56:$K$345,5,0)&amp;""</f>
        <v>Provide additional information that may help analysts better understand your environment and how it relates to third-party solutions.</v>
      </c>
      <c r="F149" s="188" t="str">
        <f>VLOOKUP($A149,'Institution Evaluation'!$A$56:$K$345,6,0)&amp;""</f>
        <v/>
      </c>
      <c r="G149" s="30" t="str">
        <f>VLOOKUP($A149,'Institution Evaluation'!$A$56:$K$345,7,0)&amp;""</f>
        <v>Yes</v>
      </c>
      <c r="H149" s="185" t="str">
        <f>VLOOKUP($A149,'Institution Evaluation'!$A$56:$K$345,8,0)&amp;""</f>
        <v/>
      </c>
      <c r="I149" s="45" t="str">
        <f>VLOOKUP($A149,'Institution Evaluation'!$A$56:$K$345,9,0)&amp;""</f>
        <v>Critical Importance</v>
      </c>
      <c r="J149" s="186" t="str">
        <f>VLOOKUP($A149,'Institution Evaluation'!$A$56:$K$345,10,0)&amp;""</f>
        <v/>
      </c>
      <c r="K149" s="48" t="str">
        <f>IF(VLOOKUP($A149,'Institution Evaluation'!$A$56:$K$345,10,0)=TRUE,'Auto Responses'!$J$3,"")</f>
        <v/>
      </c>
    </row>
    <row r="150" spans="1:11" s="1" customFormat="1" ht="17.399999999999999" x14ac:dyDescent="0.25">
      <c r="A150" s="63" t="str">
        <f>VLOOKUP(LEFT($A151,4),'Auto Responses'!$N$4:$O$38,2,0)&amp;""</f>
        <v xml:space="preserve"> Consulting Services</v>
      </c>
      <c r="B150" s="22"/>
      <c r="C150" s="31"/>
      <c r="D150" s="31"/>
      <c r="E150" s="331"/>
      <c r="F150" s="132" t="s">
        <v>1030</v>
      </c>
      <c r="G150" s="335" t="s">
        <v>869</v>
      </c>
      <c r="H150" s="335" t="s">
        <v>871</v>
      </c>
      <c r="I150" s="335" t="s">
        <v>19</v>
      </c>
      <c r="J150" s="335" t="s">
        <v>856</v>
      </c>
      <c r="K150" s="31"/>
    </row>
    <row r="151" spans="1:11" ht="81" x14ac:dyDescent="0.3">
      <c r="A151" s="19" t="s">
        <v>145</v>
      </c>
      <c r="B151" s="18" t="str">
        <f>VLOOKUP($A151,Questions!$A$2:$X$333,2,0)</f>
        <v>Will the consultant require access to the institution's network resources?*</v>
      </c>
      <c r="C151" s="45" t="str">
        <f>VLOOKUP($A151,'Institution Evaluation'!$A$56:$K$345,3,0)&amp;""</f>
        <v/>
      </c>
      <c r="D151" s="45" t="str">
        <f>VLOOKUP($A151,'Institution Evaluation'!$A$56:$K$345,4,0)&amp;""</f>
        <v>This question does not apply.</v>
      </c>
      <c r="E151" s="330" t="str">
        <f>VLOOKUP($A151,'Institution Evaluation'!$A$56:$K$345,5,0)&amp;""</f>
        <v>Based on the response to REQU-03 on the "START HERE" tab, this question does not apply to this product or service.</v>
      </c>
      <c r="F151" s="188" t="str">
        <f>VLOOKUP($A151,'Institution Evaluation'!$A$56:$K$345,6,0)&amp;""</f>
        <v/>
      </c>
      <c r="G151" s="30" t="str">
        <f>VLOOKUP($A151,'Institution Evaluation'!$A$56:$K$345,7,0)&amp;""</f>
        <v>No</v>
      </c>
      <c r="H151" s="185" t="str">
        <f>VLOOKUP($A151,'Institution Evaluation'!$A$56:$K$345,8,0)&amp;""</f>
        <v/>
      </c>
      <c r="I151" s="45" t="str">
        <f>VLOOKUP($A151,'Institution Evaluation'!$A$56:$K$345,9,0)&amp;""</f>
        <v>Critical Importance</v>
      </c>
      <c r="J151" s="186" t="str">
        <f>VLOOKUP($A151,'Institution Evaluation'!$A$56:$K$345,10,0)&amp;""</f>
        <v/>
      </c>
      <c r="K151" s="48" t="str">
        <f>IF(VLOOKUP($A151,'Institution Evaluation'!$A$56:$K$345,10,0)=TRUE,'Auto Responses'!$J$3,"")</f>
        <v/>
      </c>
    </row>
    <row r="152" spans="1:11" ht="81" x14ac:dyDescent="0.3">
      <c r="A152" s="19" t="s">
        <v>149</v>
      </c>
      <c r="B152" s="18" t="str">
        <f>VLOOKUP($A152,Questions!$A$2:$X$333,2,0)</f>
        <v>Has the consultant received training on (sensitive, HIPAA, PCI, etc.) data handling?*</v>
      </c>
      <c r="C152" s="45" t="str">
        <f>VLOOKUP($A152,'Institution Evaluation'!$A$56:$K$345,3,0)&amp;""</f>
        <v/>
      </c>
      <c r="D152" s="45" t="str">
        <f>VLOOKUP($A152,'Institution Evaluation'!$A$56:$K$345,4,0)&amp;""</f>
        <v>This question does not apply.</v>
      </c>
      <c r="E152" s="330" t="str">
        <f>VLOOKUP($A152,'Institution Evaluation'!$A$56:$K$345,5,0)&amp;""</f>
        <v>Based on the response to REQU-03 on the "START HERE" tab, this question does not apply to this product or service.</v>
      </c>
      <c r="F152" s="188" t="str">
        <f>VLOOKUP($A152,'Institution Evaluation'!$A$56:$K$345,6,0)&amp;""</f>
        <v/>
      </c>
      <c r="G152" s="30" t="str">
        <f>VLOOKUP($A152,'Institution Evaluation'!$A$56:$K$345,7,0)&amp;""</f>
        <v>Yes</v>
      </c>
      <c r="H152" s="185" t="str">
        <f>VLOOKUP($A152,'Institution Evaluation'!$A$56:$K$345,8,0)&amp;""</f>
        <v/>
      </c>
      <c r="I152" s="45" t="str">
        <f>VLOOKUP($A152,'Institution Evaluation'!$A$56:$K$345,9,0)&amp;""</f>
        <v>Critical Importance</v>
      </c>
      <c r="J152" s="186" t="str">
        <f>VLOOKUP($A152,'Institution Evaluation'!$A$56:$K$345,10,0)&amp;""</f>
        <v/>
      </c>
      <c r="K152" s="48" t="str">
        <f>IF(VLOOKUP($A152,'Institution Evaluation'!$A$56:$K$345,10,0)=TRUE,'Auto Responses'!$J$3,"")</f>
        <v/>
      </c>
    </row>
    <row r="153" spans="1:11" ht="81" x14ac:dyDescent="0.3">
      <c r="A153" s="19" t="s">
        <v>150</v>
      </c>
      <c r="B153" s="18" t="str">
        <f>VLOOKUP($A153,Questions!$A$2:$X$333,2,0)</f>
        <v>Is the data encrypted (at rest) while in the consultant's possession?*</v>
      </c>
      <c r="C153" s="45" t="str">
        <f>VLOOKUP($A153,'Institution Evaluation'!$A$56:$K$345,3,0)&amp;""</f>
        <v/>
      </c>
      <c r="D153" s="45" t="str">
        <f>VLOOKUP($A153,'Institution Evaluation'!$A$56:$K$345,4,0)&amp;""</f>
        <v>This question does not apply.</v>
      </c>
      <c r="E153" s="330" t="str">
        <f>VLOOKUP($A153,'Institution Evaluation'!$A$56:$K$345,5,0)&amp;""</f>
        <v>Based on the response to REQU-03 on the "START HERE" tab, this question does not apply to this product or service.</v>
      </c>
      <c r="F153" s="188" t="str">
        <f>VLOOKUP($A153,'Institution Evaluation'!$A$56:$K$345,6,0)&amp;""</f>
        <v/>
      </c>
      <c r="G153" s="30" t="str">
        <f>VLOOKUP($A153,'Institution Evaluation'!$A$56:$K$345,7,0)&amp;""</f>
        <v>Yes</v>
      </c>
      <c r="H153" s="185" t="str">
        <f>VLOOKUP($A153,'Institution Evaluation'!$A$56:$K$345,8,0)&amp;""</f>
        <v/>
      </c>
      <c r="I153" s="45" t="str">
        <f>VLOOKUP($A153,'Institution Evaluation'!$A$56:$K$345,9,0)&amp;""</f>
        <v>Critical Importance</v>
      </c>
      <c r="J153" s="186" t="str">
        <f>VLOOKUP($A153,'Institution Evaluation'!$A$56:$K$345,10,0)&amp;""</f>
        <v/>
      </c>
      <c r="K153" s="48" t="str">
        <f>IF(VLOOKUP($A153,'Institution Evaluation'!$A$56:$K$345,10,0)=TRUE,'Auto Responses'!$J$3,"")</f>
        <v/>
      </c>
    </row>
    <row r="154" spans="1:11" ht="81" x14ac:dyDescent="0.3">
      <c r="A154" s="19" t="s">
        <v>152</v>
      </c>
      <c r="B154" s="18" t="str">
        <f>VLOOKUP($A154,Questions!$A$2:$X$333,2,0)</f>
        <v>Can access be restricted based on source IP address?*</v>
      </c>
      <c r="C154" s="45" t="str">
        <f>VLOOKUP($A154,'Institution Evaluation'!$A$56:$K$345,3,0)&amp;""</f>
        <v/>
      </c>
      <c r="D154" s="45" t="str">
        <f>VLOOKUP($A154,'Institution Evaluation'!$A$56:$K$345,4,0)&amp;""</f>
        <v>This question does not apply.</v>
      </c>
      <c r="E154" s="330" t="str">
        <f>VLOOKUP($A154,'Institution Evaluation'!$A$56:$K$345,5,0)&amp;""</f>
        <v>Based on the response to REQU-03 on the "START HERE" tab, this question does not apply to this product or service.</v>
      </c>
      <c r="F154" s="188" t="str">
        <f>VLOOKUP($A154,'Institution Evaluation'!$A$56:$K$345,6,0)&amp;""</f>
        <v/>
      </c>
      <c r="G154" s="30" t="str">
        <f>VLOOKUP($A154,'Institution Evaluation'!$A$56:$K$345,7,0)&amp;""</f>
        <v>Yes</v>
      </c>
      <c r="H154" s="185" t="str">
        <f>VLOOKUP($A154,'Institution Evaluation'!$A$56:$K$345,8,0)&amp;""</f>
        <v/>
      </c>
      <c r="I154" s="45" t="str">
        <f>VLOOKUP($A154,'Institution Evaluation'!$A$56:$K$345,9,0)&amp;""</f>
        <v>Critical Importance</v>
      </c>
      <c r="J154" s="186" t="str">
        <f>VLOOKUP($A154,'Institution Evaluation'!$A$56:$K$345,10,0)&amp;""</f>
        <v/>
      </c>
      <c r="K154" s="48" t="str">
        <f>IF(VLOOKUP($A154,'Institution Evaluation'!$A$56:$K$345,10,0)=TRUE,'Auto Responses'!$J$3,"")</f>
        <v/>
      </c>
    </row>
    <row r="155" spans="1:11" ht="81" x14ac:dyDescent="0.3">
      <c r="A155" s="19" t="s">
        <v>154</v>
      </c>
      <c r="B155" s="18" t="str">
        <f>VLOOKUP($A155,Questions!$A$2:$X$333,2,0)</f>
        <v>Will the consulting take place on-premises?</v>
      </c>
      <c r="C155" s="45" t="str">
        <f>VLOOKUP($A155,'Institution Evaluation'!$A$56:$K$345,3,0)&amp;""</f>
        <v/>
      </c>
      <c r="D155" s="45" t="str">
        <f>VLOOKUP($A155,'Institution Evaluation'!$A$56:$K$345,4,0)&amp;""</f>
        <v>This question does not apply.</v>
      </c>
      <c r="E155" s="330" t="str">
        <f>VLOOKUP($A155,'Institution Evaluation'!$A$56:$K$345,5,0)&amp;""</f>
        <v>Based on the response to REQU-03 on the "START HERE" tab, this question does not apply to this product or service.</v>
      </c>
      <c r="F155" s="188" t="str">
        <f>VLOOKUP($A155,'Institution Evaluation'!$A$56:$K$345,6,0)&amp;""</f>
        <v/>
      </c>
      <c r="G155" s="30" t="str">
        <f>VLOOKUP($A155,'Institution Evaluation'!$A$56:$K$345,7,0)&amp;""</f>
        <v>No</v>
      </c>
      <c r="H155" s="185" t="str">
        <f>VLOOKUP($A155,'Institution Evaluation'!$A$56:$K$345,8,0)&amp;""</f>
        <v/>
      </c>
      <c r="I155" s="45" t="str">
        <f>VLOOKUP($A155,'Institution Evaluation'!$A$56:$K$345,9,0)&amp;""</f>
        <v>Standard Importance</v>
      </c>
      <c r="J155" s="186" t="str">
        <f>VLOOKUP($A155,'Institution Evaluation'!$A$56:$K$345,10,0)&amp;""</f>
        <v/>
      </c>
      <c r="K155" s="48" t="str">
        <f>IF(VLOOKUP($A155,'Institution Evaluation'!$A$56:$K$345,10,0)=TRUE,'Auto Responses'!$J$3,"")</f>
        <v/>
      </c>
    </row>
    <row r="156" spans="1:11" ht="81" x14ac:dyDescent="0.3">
      <c r="A156" s="19" t="s">
        <v>155</v>
      </c>
      <c r="B156" s="18" t="str">
        <f>VLOOKUP($A156,Questions!$A$2:$X$333,2,0)</f>
        <v>Will the consultant require access to hardware in the institution's data centers?</v>
      </c>
      <c r="C156" s="45" t="str">
        <f>VLOOKUP($A156,'Institution Evaluation'!$A$56:$K$345,3,0)&amp;""</f>
        <v/>
      </c>
      <c r="D156" s="45" t="str">
        <f>VLOOKUP($A156,'Institution Evaluation'!$A$56:$K$345,4,0)&amp;""</f>
        <v>This question does not apply.</v>
      </c>
      <c r="E156" s="330" t="str">
        <f>VLOOKUP($A156,'Institution Evaluation'!$A$56:$K$345,5,0)&amp;""</f>
        <v>Based on the response to REQU-03 on the "START HERE" tab, this question does not apply to this product or service.</v>
      </c>
      <c r="F156" s="188" t="str">
        <f>VLOOKUP($A156,'Institution Evaluation'!$A$56:$K$345,6,0)&amp;""</f>
        <v/>
      </c>
      <c r="G156" s="30" t="str">
        <f>VLOOKUP($A156,'Institution Evaluation'!$A$56:$K$345,7,0)&amp;""</f>
        <v>No</v>
      </c>
      <c r="H156" s="185" t="str">
        <f>VLOOKUP($A156,'Institution Evaluation'!$A$56:$K$345,8,0)&amp;""</f>
        <v/>
      </c>
      <c r="I156" s="45" t="str">
        <f>VLOOKUP($A156,'Institution Evaluation'!$A$56:$K$345,9,0)&amp;""</f>
        <v>Standard Importance</v>
      </c>
      <c r="J156" s="186" t="str">
        <f>VLOOKUP($A156,'Institution Evaluation'!$A$56:$K$345,10,0)&amp;""</f>
        <v/>
      </c>
      <c r="K156" s="48" t="str">
        <f>IF(VLOOKUP($A156,'Institution Evaluation'!$A$56:$K$345,10,0)=TRUE,'Auto Responses'!$J$3,"")</f>
        <v/>
      </c>
    </row>
    <row r="157" spans="1:11" ht="81" x14ac:dyDescent="0.3">
      <c r="A157" s="19" t="s">
        <v>157</v>
      </c>
      <c r="B157" s="18" t="str">
        <f>VLOOKUP($A157,Questions!$A$2:$X$333,2,0)</f>
        <v>Will the consultant require an account within the institution's domain (@*.edu)?</v>
      </c>
      <c r="C157" s="45" t="str">
        <f>VLOOKUP($A157,'Institution Evaluation'!$A$56:$K$345,3,0)&amp;""</f>
        <v/>
      </c>
      <c r="D157" s="45" t="str">
        <f>VLOOKUP($A157,'Institution Evaluation'!$A$56:$K$345,4,0)&amp;""</f>
        <v>This question does not apply.</v>
      </c>
      <c r="E157" s="330" t="str">
        <f>VLOOKUP($A157,'Institution Evaluation'!$A$56:$K$345,5,0)&amp;""</f>
        <v>Based on the response to REQU-03 on the "START HERE" tab, this question does not apply to this product or service.</v>
      </c>
      <c r="F157" s="188" t="str">
        <f>VLOOKUP($A157,'Institution Evaluation'!$A$56:$K$345,6,0)&amp;""</f>
        <v/>
      </c>
      <c r="G157" s="30" t="str">
        <f>VLOOKUP($A157,'Institution Evaluation'!$A$56:$K$345,7,0)&amp;""</f>
        <v>No</v>
      </c>
      <c r="H157" s="185" t="str">
        <f>VLOOKUP($A157,'Institution Evaluation'!$A$56:$K$345,8,0)&amp;""</f>
        <v/>
      </c>
      <c r="I157" s="45" t="str">
        <f>VLOOKUP($A157,'Institution Evaluation'!$A$56:$K$345,9,0)&amp;""</f>
        <v>Standard Importance</v>
      </c>
      <c r="J157" s="186" t="str">
        <f>VLOOKUP($A157,'Institution Evaluation'!$A$56:$K$345,10,0)&amp;""</f>
        <v/>
      </c>
      <c r="K157" s="48" t="str">
        <f>IF(VLOOKUP($A157,'Institution Evaluation'!$A$56:$K$345,10,0)=TRUE,'Auto Responses'!$J$3,"")</f>
        <v/>
      </c>
    </row>
    <row r="158" spans="1:11" ht="81" x14ac:dyDescent="0.3">
      <c r="A158" s="19" t="s">
        <v>158</v>
      </c>
      <c r="B158" s="18" t="str">
        <f>VLOOKUP($A158,Questions!$A$2:$X$333,2,0)</f>
        <v>Will any data be transferred to the consultant's possession?</v>
      </c>
      <c r="C158" s="45" t="str">
        <f>VLOOKUP($A158,'Institution Evaluation'!$A$56:$K$345,3,0)&amp;""</f>
        <v/>
      </c>
      <c r="D158" s="45" t="str">
        <f>VLOOKUP($A158,'Institution Evaluation'!$A$56:$K$345,4,0)&amp;""</f>
        <v>This question does not apply.</v>
      </c>
      <c r="E158" s="330" t="str">
        <f>VLOOKUP($A158,'Institution Evaluation'!$A$56:$K$345,5,0)&amp;""</f>
        <v>Based on the response to REQU-03 on the "START HERE" tab, this question does not apply to this product or service.</v>
      </c>
      <c r="F158" s="188" t="str">
        <f>VLOOKUP($A158,'Institution Evaluation'!$A$56:$K$345,6,0)&amp;""</f>
        <v/>
      </c>
      <c r="G158" s="30" t="str">
        <f>VLOOKUP($A158,'Institution Evaluation'!$A$56:$K$345,7,0)&amp;""</f>
        <v>No</v>
      </c>
      <c r="H158" s="185" t="str">
        <f>VLOOKUP($A158,'Institution Evaluation'!$A$56:$K$345,8,0)&amp;""</f>
        <v/>
      </c>
      <c r="I158" s="45" t="str">
        <f>VLOOKUP($A158,'Institution Evaluation'!$A$56:$K$345,9,0)&amp;""</f>
        <v>Standard Importance</v>
      </c>
      <c r="J158" s="186" t="str">
        <f>VLOOKUP($A158,'Institution Evaluation'!$A$56:$K$345,10,0)&amp;""</f>
        <v/>
      </c>
      <c r="K158" s="48" t="str">
        <f>IF(VLOOKUP($A158,'Institution Evaluation'!$A$56:$K$345,10,0)=TRUE,'Auto Responses'!$J$3,"")</f>
        <v/>
      </c>
    </row>
    <row r="159" spans="1:11" ht="81" x14ac:dyDescent="0.3">
      <c r="A159" s="19" t="s">
        <v>160</v>
      </c>
      <c r="B159" s="18" t="str">
        <f>VLOOKUP($A159,Questions!$A$2:$X$333,2,0)</f>
        <v>Will the consultant need remote access to the institution's network or systems?</v>
      </c>
      <c r="C159" s="45" t="str">
        <f>VLOOKUP($A159,'Institution Evaluation'!$A$56:$K$345,3,0)&amp;""</f>
        <v/>
      </c>
      <c r="D159" s="45" t="str">
        <f>VLOOKUP($A159,'Institution Evaluation'!$A$56:$K$345,4,0)&amp;""</f>
        <v>This question does not apply.</v>
      </c>
      <c r="E159" s="330" t="str">
        <f>VLOOKUP($A159,'Institution Evaluation'!$A$56:$K$345,5,0)&amp;""</f>
        <v>Based on the response to REQU-03 on the "START HERE" tab, this question does not apply to this product or service.</v>
      </c>
      <c r="F159" s="188" t="str">
        <f>VLOOKUP($A159,'Institution Evaluation'!$A$56:$K$345,6,0)&amp;""</f>
        <v/>
      </c>
      <c r="G159" s="30" t="str">
        <f>VLOOKUP($A159,'Institution Evaluation'!$A$56:$K$345,7,0)&amp;""</f>
        <v>No</v>
      </c>
      <c r="H159" s="185" t="str">
        <f>VLOOKUP($A159,'Institution Evaluation'!$A$56:$K$345,8,0)&amp;""</f>
        <v/>
      </c>
      <c r="I159" s="45" t="str">
        <f>VLOOKUP($A159,'Institution Evaluation'!$A$56:$K$345,9,0)&amp;""</f>
        <v>Standard Importance</v>
      </c>
      <c r="J159" s="186" t="str">
        <f>VLOOKUP($A159,'Institution Evaluation'!$A$56:$K$345,10,0)&amp;""</f>
        <v/>
      </c>
      <c r="K159" s="48" t="str">
        <f>IF(VLOOKUP($A159,'Institution Evaluation'!$A$56:$K$345,10,0)=TRUE,'Auto Responses'!$J$3,"")</f>
        <v/>
      </c>
    </row>
    <row r="160" spans="1:11" s="1" customFormat="1" ht="17.399999999999999" x14ac:dyDescent="0.25">
      <c r="A160" s="63" t="str">
        <f>VLOOKUP(LEFT($A161,4),'Auto Responses'!$N$4:$O$38,2,0)&amp;""</f>
        <v xml:space="preserve"> Application/Service Security</v>
      </c>
      <c r="B160" s="22"/>
      <c r="C160" s="31"/>
      <c r="D160" s="31"/>
      <c r="E160" s="331"/>
      <c r="F160" s="132" t="s">
        <v>1030</v>
      </c>
      <c r="G160" s="335" t="s">
        <v>869</v>
      </c>
      <c r="H160" s="335" t="s">
        <v>871</v>
      </c>
      <c r="I160" s="335" t="s">
        <v>19</v>
      </c>
      <c r="J160" s="335" t="s">
        <v>856</v>
      </c>
      <c r="K160" s="31"/>
    </row>
    <row r="161" spans="1:11" ht="405" x14ac:dyDescent="0.3">
      <c r="A161" s="19" t="s">
        <v>161</v>
      </c>
      <c r="B161" s="18" t="str">
        <f>VLOOKUP($A161,Questions!$A$2:$X$333,2,0)</f>
        <v>Are access controls for institutional accounts based on structured rules, such as role-based access control (RBAC), attribute-based access control (ABAC), or policy-based access control (PBAC)?*</v>
      </c>
      <c r="C161" s="45" t="str">
        <f>VLOOKUP($A161,'Institution Evaluation'!$A$56:$K$345,3,0)&amp;""</f>
        <v>Yes</v>
      </c>
      <c r="D161" s="45" t="str">
        <f>VLOOKUP($A161,'Institution Evaluation'!$A$56:$K$345,4,0)&amp;""</f>
        <v>Access controls for institutional accounts are based on structured rules. End-user access is governed by the institution's LMS RBAC (Moodle native or LTI-passthrough), which Cursive inherits — student, instructor, and administrator roles are determined by the LMS and propagated to TypeID functionality (e.g., instructors see authorship reports for their courses; students see their own data). For institutional administrative access to Cursive-side controls, RBAC is enforced via AWS IAM with least-privilege scoping.</v>
      </c>
      <c r="E161" s="330" t="str">
        <f>VLOOKUP($A161,'Institution Evaluation'!$A$56:$K$345,5,0)&amp;""</f>
        <v>Describe available roles.</v>
      </c>
      <c r="F161" s="188" t="str">
        <f>VLOOKUP($A161,'Institution Evaluation'!$A$56:$K$345,6,0)&amp;""</f>
        <v/>
      </c>
      <c r="G161" s="30" t="str">
        <f>VLOOKUP($A161,'Institution Evaluation'!$A$56:$K$345,7,0)&amp;""</f>
        <v>Yes</v>
      </c>
      <c r="H161" s="185" t="str">
        <f>VLOOKUP($A161,'Institution Evaluation'!$A$56:$K$345,8,0)&amp;""</f>
        <v/>
      </c>
      <c r="I161" s="45" t="str">
        <f>VLOOKUP($A161,'Institution Evaluation'!$A$56:$K$345,9,0)&amp;""</f>
        <v>Critical Importance</v>
      </c>
      <c r="J161" s="186" t="str">
        <f>VLOOKUP($A161,'Institution Evaluation'!$A$56:$K$345,10,0)&amp;""</f>
        <v/>
      </c>
      <c r="K161" s="48" t="str">
        <f>IF(VLOOKUP($A161,'Institution Evaluation'!$A$56:$K$345,10,0)=TRUE,'Auto Responses'!$J$3,"")</f>
        <v/>
      </c>
    </row>
    <row r="162" spans="1:11" ht="16.2" x14ac:dyDescent="0.3">
      <c r="A162" s="19" t="s">
        <v>166</v>
      </c>
      <c r="B162" s="18" t="str">
        <f>VLOOKUP($A162,Questions!$A$2:$X$333,2,0)</f>
        <v>Are you using a web application firewall (WAF)?*</v>
      </c>
      <c r="C162" s="45" t="str">
        <f>VLOOKUP($A162,'Institution Evaluation'!$A$56:$K$345,3,0)&amp;""</f>
        <v/>
      </c>
      <c r="D162" s="45" t="str">
        <f>VLOOKUP($A162,'Institution Evaluation'!$A$56:$K$345,4,0)&amp;""</f>
        <v/>
      </c>
      <c r="E162" s="330" t="str">
        <f>VLOOKUP($A162,'Institution Evaluation'!$A$56:$K$345,5,0)&amp;""</f>
        <v/>
      </c>
      <c r="F162" s="188" t="str">
        <f>VLOOKUP($A162,'Institution Evaluation'!$A$56:$K$345,6,0)&amp;""</f>
        <v/>
      </c>
      <c r="G162" s="30" t="str">
        <f>VLOOKUP($A162,'Institution Evaluation'!$A$56:$K$345,7,0)&amp;""</f>
        <v>Yes</v>
      </c>
      <c r="H162" s="185" t="str">
        <f>VLOOKUP($A162,'Institution Evaluation'!$A$56:$K$345,8,0)&amp;""</f>
        <v/>
      </c>
      <c r="I162" s="45" t="str">
        <f>VLOOKUP($A162,'Institution Evaluation'!$A$56:$K$345,9,0)&amp;""</f>
        <v>Critical Importance</v>
      </c>
      <c r="J162" s="186" t="str">
        <f>VLOOKUP($A162,'Institution Evaluation'!$A$56:$K$345,10,0)&amp;""</f>
        <v/>
      </c>
      <c r="K162" s="48" t="str">
        <f>IF(VLOOKUP($A162,'Institution Evaluation'!$A$56:$K$345,10,0)=TRUE,'Auto Responses'!$J$3,"")</f>
        <v/>
      </c>
    </row>
    <row r="163" spans="1:11" ht="409.6" x14ac:dyDescent="0.3">
      <c r="A163" s="19" t="s">
        <v>191</v>
      </c>
      <c r="B163" s="18" t="str">
        <f>VLOOKUP($A163,Questions!$A$2:$X$333,2,0)</f>
        <v>Are access controls for staff within your organization based on structured rules, such as RBAC, ABAC, or PBAC?</v>
      </c>
      <c r="C163" s="45" t="str">
        <f>VLOOKUP($A163,'Institution Evaluation'!$A$56:$K$345,3,0)&amp;""</f>
        <v>Yes</v>
      </c>
      <c r="D163" s="45" t="str">
        <f>VLOOKUP($A163,'Institution Evaluation'!$A$56:$K$345,4,0)&amp;""</f>
        <v>Access controls for staff are based on structured rules. AWS production access is gated through IAM with role-based least-privilege scoping. GitHub access is governed by team membership and branch protection rules. Internal tool access (Linear, Google Workspace, Bitwarden) is gated through SSO + MFA with role-appropriate permissions. Subprocessors (Brain-Station 23, AWS engineering contractor, Tech Worm LLC) access is similarly scoped via AWS IAM and GitHub team membership, restricted to non-production environments by default with no standing access to institutional production data.</v>
      </c>
      <c r="E163" s="330" t="str">
        <f>VLOOKUP($A163,'Institution Evaluation'!$A$56:$K$345,5,0)&amp;""</f>
        <v>This includes system administrators and third-party personnel with access to the system. PBAC would include various dynamic controls such as conditional access, risk-based access, location-based access, or system activity–based access.</v>
      </c>
      <c r="F163" s="188" t="str">
        <f>VLOOKUP($A163,'Institution Evaluation'!$A$56:$K$345,6,0)&amp;""</f>
        <v/>
      </c>
      <c r="G163" s="30" t="str">
        <f>VLOOKUP($A163,'Institution Evaluation'!$A$56:$K$345,7,0)&amp;""</f>
        <v>Yes</v>
      </c>
      <c r="H163" s="185" t="str">
        <f>VLOOKUP($A163,'Institution Evaluation'!$A$56:$K$345,8,0)&amp;""</f>
        <v/>
      </c>
      <c r="I163" s="45" t="str">
        <f>VLOOKUP($A163,'Institution Evaluation'!$A$56:$K$345,9,0)&amp;""</f>
        <v>Standard Importance</v>
      </c>
      <c r="J163" s="186" t="str">
        <f>VLOOKUP($A163,'Institution Evaluation'!$A$56:$K$345,10,0)&amp;""</f>
        <v/>
      </c>
      <c r="K163" s="48" t="str">
        <f>IF(VLOOKUP($A163,'Institution Evaluation'!$A$56:$K$345,10,0)=TRUE,'Auto Responses'!$J$3,"")</f>
        <v/>
      </c>
    </row>
    <row r="164" spans="1:11" s="1" customFormat="1" ht="17.399999999999999" x14ac:dyDescent="0.25">
      <c r="A164" s="63" t="str">
        <f>VLOOKUP(LEFT($A165,4),'Auto Responses'!$N$4:$O$38,2,0)&amp;""</f>
        <v xml:space="preserve"> Authentication, Authorization, and Account Management</v>
      </c>
      <c r="B164" s="22"/>
      <c r="C164" s="31"/>
      <c r="D164" s="31"/>
      <c r="E164" s="331"/>
      <c r="F164" s="132" t="s">
        <v>1030</v>
      </c>
      <c r="G164" s="335" t="s">
        <v>869</v>
      </c>
      <c r="H164" s="335" t="s">
        <v>871</v>
      </c>
      <c r="I164" s="335" t="s">
        <v>19</v>
      </c>
      <c r="J164" s="335" t="s">
        <v>856</v>
      </c>
      <c r="K164" s="31"/>
    </row>
    <row r="165" spans="1:11" ht="409.6" x14ac:dyDescent="0.3">
      <c r="A165" s="19" t="s">
        <v>216</v>
      </c>
      <c r="B165" s="18" t="str">
        <f>VLOOKUP($A165,Questions!$A$2:$X$333,2,0)</f>
        <v>Does your solution support single sign-on (SSO) protocols for user and administrator authentication?*</v>
      </c>
      <c r="C165" s="45" t="str">
        <f>VLOOKUP($A165,'Institution Evaluation'!$A$56:$K$345,3,0)&amp;""</f>
        <v>Yes</v>
      </c>
      <c r="D165" s="45" t="str">
        <f>VLOOKUP($A165,'Institution Evaluation'!$A$56:$K$345,4,0)&amp;""</f>
        <v>All authentication is delegated to LTI and/or the institution's native application (e.g., Moodle). There is no direct end-user or administrator login to Cursive's system. Authentication is brokered securely between the client site and Cursive's API via LMS-issued tokens; no individual login or administrator action is required at the Cursive layer. SSO at the institutional layer is fully supported through the LTI standard and Moodle's native authentication (which itself supports SAML, OIDC, CAS, LDAP, Shibboleth, and other federated authentication protocols).</v>
      </c>
      <c r="E165" s="330" t="str">
        <f>VLOOKUP($A165,'Institution Evaluation'!$A$56:$K$345,5,0)&amp;""</f>
        <v>Describe how strong authentication is enforced (e.g., complex passwords, multifactor tokens, certificates, biometrics, aging requirements, re-use policy).</v>
      </c>
      <c r="F165" s="188" t="str">
        <f>VLOOKUP($A165,'Institution Evaluation'!$A$56:$K$345,6,0)&amp;""</f>
        <v/>
      </c>
      <c r="G165" s="30" t="str">
        <f>VLOOKUP($A165,'Institution Evaluation'!$A$56:$K$345,7,0)&amp;""</f>
        <v>Yes</v>
      </c>
      <c r="H165" s="185" t="str">
        <f>VLOOKUP($A165,'Institution Evaluation'!$A$56:$K$345,8,0)&amp;""</f>
        <v/>
      </c>
      <c r="I165" s="45" t="str">
        <f>VLOOKUP($A165,'Institution Evaluation'!$A$56:$K$345,9,0)&amp;""</f>
        <v>Critical Importance</v>
      </c>
      <c r="J165" s="186" t="str">
        <f>VLOOKUP($A165,'Institution Evaluation'!$A$56:$K$345,10,0)&amp;""</f>
        <v/>
      </c>
      <c r="K165" s="48" t="str">
        <f>IF(VLOOKUP($A165,'Institution Evaluation'!$A$56:$K$345,10,0)=TRUE,'Auto Responses'!$J$3,"")</f>
        <v/>
      </c>
    </row>
    <row r="166" spans="1:11" ht="356.4" x14ac:dyDescent="0.3">
      <c r="A166" s="19" t="s">
        <v>221</v>
      </c>
      <c r="B166" s="18" t="str">
        <f>VLOOKUP($A166,Questions!$A$2:$X$333,2,0)</f>
        <v>For customers not using SSO, does your solution support local authentication protocols for user and administrator authentication?*</v>
      </c>
      <c r="C166" s="45" t="str">
        <f>VLOOKUP($A166,'Institution Evaluation'!$A$56:$K$345,3,0)&amp;""</f>
        <v>Yes</v>
      </c>
      <c r="D166" s="45" t="str">
        <f>VLOOKUP($A166,'Institution Evaluation'!$A$56:$K$345,4,0)&amp;""</f>
        <v>Authentication for end users and institutional administrators is delegated entirely to LTI and/or the institution's native application (Moodle). Cursive does not maintain a separate local authentication system for institutional users — there is no direct login to Cursive's system. The institution's local authentication mechanism (Moodle's local password authentication, where applicable) flows through to TypeID via the LMS integration.</v>
      </c>
      <c r="E166" s="330" t="str">
        <f>VLOOKUP($A166,'Institution Evaluation'!$A$56:$K$345,5,0)&amp;""</f>
        <v>Provide a detailed description of your local authentication mode practices.</v>
      </c>
      <c r="F166" s="188" t="str">
        <f>VLOOKUP($A166,'Institution Evaluation'!$A$56:$K$345,6,0)&amp;""</f>
        <v/>
      </c>
      <c r="G166" s="30" t="str">
        <f>VLOOKUP($A166,'Institution Evaluation'!$A$56:$K$345,7,0)&amp;""</f>
        <v>Yes</v>
      </c>
      <c r="H166" s="185" t="str">
        <f>VLOOKUP($A166,'Institution Evaluation'!$A$56:$K$345,8,0)&amp;""</f>
        <v/>
      </c>
      <c r="I166" s="45" t="str">
        <f>VLOOKUP($A166,'Institution Evaluation'!$A$56:$K$345,9,0)&amp;""</f>
        <v>Critical Importance</v>
      </c>
      <c r="J166" s="186" t="str">
        <f>VLOOKUP($A166,'Institution Evaluation'!$A$56:$K$345,10,0)&amp;""</f>
        <v/>
      </c>
      <c r="K166" s="48" t="str">
        <f>IF(VLOOKUP($A166,'Institution Evaluation'!$A$56:$K$345,10,0)=TRUE,'Auto Responses'!$J$3,"")</f>
        <v/>
      </c>
    </row>
    <row r="167" spans="1:11" ht="356.4" x14ac:dyDescent="0.3">
      <c r="A167" s="19" t="s">
        <v>253</v>
      </c>
      <c r="B167" s="18" t="str">
        <f>VLOOKUP($A167,Questions!$A$2:$X$333,2,0)</f>
        <v>For customers not using SSO, does your application support integration with other authentication and authorization systems?</v>
      </c>
      <c r="C167" s="45" t="str">
        <f>VLOOKUP($A167,'Institution Evaluation'!$A$56:$K$345,3,0)&amp;""</f>
        <v>Yes</v>
      </c>
      <c r="D167" s="45" t="str">
        <f>VLOOKUP($A167,'Institution Evaluation'!$A$56:$K$345,4,0)&amp;""</f>
        <v>All authentication is delegated to LTI and/or the institution's application (e.g., Moodle), which itself integrates with the institution's chosen authentication and authorization systems. Through the Moodle authentication plugin ecosystem and LTI standard, TypeID inherits integration with SAML, OIDC, CAS, LDAP, Shibboleth, OAuth, and any other authentication system the institution has configured. There is no direct login to Cursive's system.</v>
      </c>
      <c r="E167" s="330" t="str">
        <f>VLOOKUP($A167,'Institution Evaluation'!$A$56:$K$345,5,0)&amp;""</f>
        <v>List which systems and versions supported (such as Active Directory, Kerberos, or other LDAP compatible directory) in Additional Info.</v>
      </c>
      <c r="F167" s="188" t="str">
        <f>VLOOKUP($A167,'Institution Evaluation'!$A$56:$K$345,6,0)&amp;""</f>
        <v/>
      </c>
      <c r="G167" s="30" t="str">
        <f>VLOOKUP($A167,'Institution Evaluation'!$A$56:$K$345,7,0)&amp;""</f>
        <v>Yes</v>
      </c>
      <c r="H167" s="185" t="str">
        <f>VLOOKUP($A167,'Institution Evaluation'!$A$56:$K$345,8,0)&amp;""</f>
        <v/>
      </c>
      <c r="I167" s="45" t="str">
        <f>VLOOKUP($A167,'Institution Evaluation'!$A$56:$K$345,9,0)&amp;""</f>
        <v>Standard Importance</v>
      </c>
      <c r="J167" s="186" t="str">
        <f>VLOOKUP($A167,'Institution Evaluation'!$A$56:$K$345,10,0)&amp;""</f>
        <v/>
      </c>
      <c r="K167" s="48" t="str">
        <f>IF(VLOOKUP($A167,'Institution Evaluation'!$A$56:$K$345,10,0)=TRUE,'Auto Responses'!$J$3,"")</f>
        <v/>
      </c>
    </row>
    <row r="168" spans="1:11" ht="409.6" x14ac:dyDescent="0.3">
      <c r="A168" s="19" t="s">
        <v>255</v>
      </c>
      <c r="B168" s="18" t="str">
        <f>VLOOKUP($A168,Questions!$A$2:$X$333,2,0)</f>
        <v>Do you allow the customer to specify attribute mappings for any needed information beyond a user identifier? (e.g., Reference eduPerson, ePPA/ePPN/ePE)</v>
      </c>
      <c r="C168" s="45" t="str">
        <f>VLOOKUP($A168,'Institution Evaluation'!$A$56:$K$345,3,0)&amp;""</f>
        <v>No</v>
      </c>
      <c r="D168" s="45" t="str">
        <f>VLOOKUP($A168,'Institution Evaluation'!$A$56:$K$345,4,0)&amp;""</f>
        <v>Cursive does not collect or maintain attribute mappings for end users beyond the opaque LMS-issued UUID. No eduPerson, ePPA, ePPN, ePE, or other federated identity attributes are consumed by Cursive. All identifier information (name, email, role, institutional affiliation, course enrollment) is deferred to and managed by the institutional LMS. Cursive's data minimization architecture intentionally avoids consuming federated identity attributes that Cursive does not need to perform authorship verification.</v>
      </c>
      <c r="E168" s="330" t="str">
        <f>VLOOKUP($A168,'Institution Evaluation'!$A$56:$K$345,5,0)&amp;""</f>
        <v>Describe plans to allow customers to specify attribute mappings.</v>
      </c>
      <c r="F168" s="188" t="str">
        <f>VLOOKUP($A168,'Institution Evaluation'!$A$56:$K$345,6,0)&amp;""</f>
        <v/>
      </c>
      <c r="G168" s="30" t="str">
        <f>VLOOKUP($A168,'Institution Evaluation'!$A$56:$K$345,7,0)&amp;""</f>
        <v>Yes</v>
      </c>
      <c r="H168" s="185" t="str">
        <f>VLOOKUP($A168,'Institution Evaluation'!$A$56:$K$345,8,0)&amp;""</f>
        <v/>
      </c>
      <c r="I168" s="45" t="str">
        <f>VLOOKUP($A168,'Institution Evaluation'!$A$56:$K$345,9,0)&amp;""</f>
        <v>Standard Importance</v>
      </c>
      <c r="J168" s="186" t="str">
        <f>VLOOKUP($A168,'Institution Evaluation'!$A$56:$K$345,10,0)&amp;""</f>
        <v/>
      </c>
      <c r="K168" s="48" t="str">
        <f>IF(VLOOKUP($A168,'Institution Evaluation'!$A$56:$K$345,10,0)=TRUE,'Auto Responses'!$J$3,"")</f>
        <v/>
      </c>
    </row>
    <row r="169" spans="1:11" ht="405" x14ac:dyDescent="0.3">
      <c r="A169" s="19" t="s">
        <v>268</v>
      </c>
      <c r="B169" s="18" t="str">
        <f>VLOOKUP($A169,Questions!$A$2:$X$333,2,0)</f>
        <v>For customers not using SSO, does your application and/or user frontend/portal support multifactor authentication (e.g., Duo, Google Authenticator, OTP, etc.)?</v>
      </c>
      <c r="C169" s="45" t="str">
        <f>VLOOKUP($A169,'Institution Evaluation'!$A$56:$K$345,3,0)&amp;""</f>
        <v>N/A</v>
      </c>
      <c r="D169" s="45" t="str">
        <f>VLOOKUP($A169,'Institution Evaluation'!$A$56:$K$345,4,0)&amp;""</f>
        <v xml:space="preserve">MFA at the end-user authentication layer is enforced by the institutional LMS per the institution's configuration; Cursive inherits whatever MFA policy the institution has in place. There is no direct login to Cursive's system for end users, so a Cursive-side MFA implementation is not architecturally applicable. For Cursive staff and administrative access to internal Cursive systems (AWS, GitHub, Linear, Google Workspace, Bitwarden), MFA is enforced on all administrative interfaces.
</v>
      </c>
      <c r="E169" s="330" t="str">
        <f>VLOOKUP($A169,'Institution Evaluation'!$A$56:$K$345,5,0)&amp;""</f>
        <v/>
      </c>
      <c r="F169" s="188" t="str">
        <f>VLOOKUP($A169,'Institution Evaluation'!$A$56:$K$345,6,0)&amp;""</f>
        <v/>
      </c>
      <c r="G169" s="30" t="str">
        <f>VLOOKUP($A169,'Institution Evaluation'!$A$56:$K$345,7,0)&amp;""</f>
        <v>Yes</v>
      </c>
      <c r="H169" s="185" t="str">
        <f>VLOOKUP($A169,'Institution Evaluation'!$A$56:$K$345,8,0)&amp;""</f>
        <v/>
      </c>
      <c r="I169" s="45" t="str">
        <f>VLOOKUP($A169,'Institution Evaluation'!$A$56:$K$345,9,0)&amp;""</f>
        <v>Minor Importance</v>
      </c>
      <c r="J169" s="186" t="str">
        <f>VLOOKUP($A169,'Institution Evaluation'!$A$56:$K$345,10,0)&amp;""</f>
        <v/>
      </c>
      <c r="K169" s="48" t="str">
        <f>IF(VLOOKUP($A169,'Institution Evaluation'!$A$56:$K$345,10,0)=TRUE,'Auto Responses'!$J$3,"")</f>
        <v/>
      </c>
    </row>
    <row r="170" spans="1:11" s="1" customFormat="1" ht="17.399999999999999" x14ac:dyDescent="0.25">
      <c r="A170" s="63" t="str">
        <f>VLOOKUP(LEFT($A171,4),'Auto Responses'!$N$4:$O$38,2,0)&amp;""</f>
        <v xml:space="preserve"> Change Management</v>
      </c>
      <c r="B170" s="22"/>
      <c r="C170" s="31"/>
      <c r="D170" s="31"/>
      <c r="E170" s="331"/>
      <c r="F170" s="132" t="s">
        <v>1030</v>
      </c>
      <c r="G170" s="335" t="s">
        <v>869</v>
      </c>
      <c r="H170" s="335" t="s">
        <v>871</v>
      </c>
      <c r="I170" s="335" t="s">
        <v>19</v>
      </c>
      <c r="J170" s="335" t="s">
        <v>856</v>
      </c>
      <c r="K170" s="31"/>
    </row>
    <row r="171" spans="1:11" ht="409.6" x14ac:dyDescent="0.3">
      <c r="A171" s="19" t="s">
        <v>274</v>
      </c>
      <c r="B171" s="18" t="str">
        <f>VLOOKUP($A171,Questions!$A$2:$X$333,2,0)</f>
        <v>Will the institution be notified of major changes to your environment that could impact the institution's security posture?*</v>
      </c>
      <c r="C171" s="45" t="str">
        <f>VLOOKUP($A171,'Institution Evaluation'!$A$56:$K$345,3,0)&amp;""</f>
        <v>Yes</v>
      </c>
      <c r="D171" s="45" t="str">
        <f>VLOOKUP($A171,'Institution Evaluation'!$A$56:$K$345,4,0)&amp;""</f>
        <v>Institutional customers are notified of major changes to Cursive's environment that could impact security posture per the Cursive Policies and Procedures (Security Assessment &amp; Authorization). Notification is triggered by the Security Impact Analysis step in the change management process: when a planned change is determined to have material security impact for institutional customers, affected institutions are notified in advance with sufficient lead time to evaluate the change. Communication is delivered through the institutional point of contact and through release notes published as part of the deployment process per the Cursive SDLC.</v>
      </c>
      <c r="E171" s="330" t="str">
        <f>VLOOKUP($A171,'Institution Evaluation'!$A$56:$K$345,5,0)&amp;""</f>
        <v>State how and when the institution will be notified of major changes to your environment.</v>
      </c>
      <c r="F171" s="188" t="str">
        <f>VLOOKUP($A171,'Institution Evaluation'!$A$56:$K$345,6,0)&amp;""</f>
        <v/>
      </c>
      <c r="G171" s="30" t="str">
        <f>VLOOKUP($A171,'Institution Evaluation'!$A$56:$K$345,7,0)&amp;""</f>
        <v>Yes</v>
      </c>
      <c r="H171" s="185" t="str">
        <f>VLOOKUP($A171,'Institution Evaluation'!$A$56:$K$345,8,0)&amp;""</f>
        <v/>
      </c>
      <c r="I171" s="45" t="str">
        <f>VLOOKUP($A171,'Institution Evaluation'!$A$56:$K$345,9,0)&amp;""</f>
        <v>Critical Importance</v>
      </c>
      <c r="J171" s="186" t="str">
        <f>VLOOKUP($A171,'Institution Evaluation'!$A$56:$K$345,10,0)&amp;""</f>
        <v/>
      </c>
      <c r="K171" s="48" t="str">
        <f>IF(VLOOKUP($A171,'Institution Evaluation'!$A$56:$K$345,10,0)=TRUE,'Auto Responses'!$J$3,"")</f>
        <v/>
      </c>
    </row>
    <row r="172" spans="1:11" ht="409.6" x14ac:dyDescent="0.3">
      <c r="A172" s="19" t="s">
        <v>279</v>
      </c>
      <c r="B172" s="18" t="str">
        <f>VLOOKUP($A172,Questions!$A$2:$X$333,2,0)</f>
        <v>Does the system support client customizations from one release to another?*</v>
      </c>
      <c r="C172" s="45" t="str">
        <f>VLOOKUP($A172,'Institution Evaluation'!$A$56:$K$345,3,0)&amp;""</f>
        <v>Yes</v>
      </c>
      <c r="D172" s="45" t="str">
        <f>VLOOKUP($A172,'Institution Evaluation'!$A$56:$K$345,4,0)&amp;""</f>
        <v>Client customizations are supported across releases. Cursive's API model is designed for backward compatibility — a single best-practice API serves all supported versions of the Cursive Moodle plugin and browser extension simultaneously, so institutional customizations and integrations remain functional across release cycles. Institution-specific configuration (LMS integration parameters, branding where applicable, contractual data handling settings) persists through plugin and extension updates without manual reconfiguration. Where client customizations require new API surface area, Cursive maintains backward compatibility for at least one full release cycle to support institutional migration.</v>
      </c>
      <c r="E172" s="330" t="str">
        <f>VLOOKUP($A172,'Institution Evaluation'!$A$56:$K$345,5,0)&amp;""</f>
        <v>Describe or provide reference to your solution support strategy in regard to maintaining client customizations from one release to another.</v>
      </c>
      <c r="F172" s="188" t="str">
        <f>VLOOKUP($A172,'Institution Evaluation'!$A$56:$K$345,6,0)&amp;""</f>
        <v/>
      </c>
      <c r="G172" s="30" t="str">
        <f>VLOOKUP($A172,'Institution Evaluation'!$A$56:$K$345,7,0)&amp;""</f>
        <v>Yes</v>
      </c>
      <c r="H172" s="185" t="str">
        <f>VLOOKUP($A172,'Institution Evaluation'!$A$56:$K$345,8,0)&amp;""</f>
        <v/>
      </c>
      <c r="I172" s="45" t="str">
        <f>VLOOKUP($A172,'Institution Evaluation'!$A$56:$K$345,9,0)&amp;""</f>
        <v>Critical Importance</v>
      </c>
      <c r="J172" s="186" t="str">
        <f>VLOOKUP($A172,'Institution Evaluation'!$A$56:$K$345,10,0)&amp;""</f>
        <v/>
      </c>
      <c r="K172" s="48" t="str">
        <f>IF(VLOOKUP($A172,'Institution Evaluation'!$A$56:$K$345,10,0)=TRUE,'Auto Responses'!$J$3,"")</f>
        <v/>
      </c>
    </row>
    <row r="173" spans="1:11" s="1" customFormat="1" ht="17.399999999999999" x14ac:dyDescent="0.25">
      <c r="A173" s="63" t="str">
        <f>VLOOKUP(LEFT($A174,4),'Auto Responses'!$N$4:$O$38,2,0)&amp;""</f>
        <v xml:space="preserve"> Data</v>
      </c>
      <c r="B173" s="22"/>
      <c r="C173" s="31"/>
      <c r="D173" s="31"/>
      <c r="E173" s="331"/>
      <c r="F173" s="132" t="s">
        <v>1030</v>
      </c>
      <c r="G173" s="335" t="s">
        <v>869</v>
      </c>
      <c r="H173" s="335" t="s">
        <v>871</v>
      </c>
      <c r="I173" s="335" t="s">
        <v>19</v>
      </c>
      <c r="J173" s="335" t="s">
        <v>856</v>
      </c>
      <c r="K173" s="31"/>
    </row>
    <row r="174" spans="1:11" ht="405" x14ac:dyDescent="0.3">
      <c r="A174" s="19" t="s">
        <v>332</v>
      </c>
      <c r="B174" s="18" t="str">
        <f>VLOOKUP($A174,Questions!$A$2:$X$333,2,0)</f>
        <v>Is the storage of sensitive data encrypted using security protocols/algorithms (e.g., disk encryption, at-rest, files, and within a running database)?*</v>
      </c>
      <c r="C174" s="45" t="str">
        <f>VLOOKUP($A174,'Institution Evaluation'!$A$56:$K$345,3,0)&amp;""</f>
        <v>Yes</v>
      </c>
      <c r="D174" s="45" t="str">
        <f>VLOOKUP($A174,'Institution Evaluation'!$A$56:$K$345,4,0)&amp;""</f>
        <v>All storage of sensitive data is encrypted at rest using AES-256 encryption (CNSA-approved). AWS-managed services apply encryption at multiple layers: S3 server-side encryption with AWS KMS-managed keys, RDS encryption at rest with KMS, EBS volume encryption, and KMS encryption for EKS secrets. Encryption keys are managed through AWS Key Management Service (AWS KMS) with HSM-backed key storage. Encryption applies to running databases, file storage, archival storage, and backup copies.</v>
      </c>
      <c r="E174" s="330" t="str">
        <f>VLOOKUP($A174,'Institution Evaluation'!$A$56:$K$345,5,0)&amp;""</f>
        <v>Summarize your data encryption strategy and state what encryption options are available.</v>
      </c>
      <c r="F174" s="188" t="str">
        <f>VLOOKUP($A174,'Institution Evaluation'!$A$56:$K$345,6,0)&amp;""</f>
        <v/>
      </c>
      <c r="G174" s="30" t="str">
        <f>VLOOKUP($A174,'Institution Evaluation'!$A$56:$K$345,7,0)&amp;""</f>
        <v>Yes</v>
      </c>
      <c r="H174" s="185" t="str">
        <f>VLOOKUP($A174,'Institution Evaluation'!$A$56:$K$345,8,0)&amp;""</f>
        <v/>
      </c>
      <c r="I174" s="45" t="str">
        <f>VLOOKUP($A174,'Institution Evaluation'!$A$56:$K$345,9,0)&amp;""</f>
        <v>Critical Importance</v>
      </c>
      <c r="J174" s="186" t="str">
        <f>VLOOKUP($A174,'Institution Evaluation'!$A$56:$K$345,10,0)&amp;""</f>
        <v/>
      </c>
      <c r="K174" s="48" t="str">
        <f>IF(VLOOKUP($A174,'Institution Evaluation'!$A$56:$K$345,10,0)=TRUE,'Auto Responses'!$J$3,"")</f>
        <v/>
      </c>
    </row>
    <row r="175" spans="1:11" ht="409.6" x14ac:dyDescent="0.3">
      <c r="A175" s="19" t="s">
        <v>336</v>
      </c>
      <c r="B175" s="18" t="str">
        <f>VLOOKUP($A175,Questions!$A$2:$X$333,2,0)</f>
        <v>Do all cryptographic modules in use in your solution conform to the Federal Information Processing Standards (FIPS PUB 140-2 or 140-3)?*</v>
      </c>
      <c r="C175" s="45" t="str">
        <f>VLOOKUP($A175,'Institution Evaluation'!$A$56:$K$345,3,0)&amp;""</f>
        <v>Yes</v>
      </c>
      <c r="D175" s="45" t="str">
        <f>VLOOKUP($A175,'Institution Evaluation'!$A$56:$K$345,4,0)&amp;""</f>
        <v xml:space="preserve">Cryptographic modules in use throughout Cursive's AWS environment conform to FIPS 140-2 / 140-3 standards. AWS Key Management Service (KMS) operates on FIPS 140-2 Level 3 validated hardware security modules. AWS CloudHSM (available on-demand for institutional engagements requiring stricter key custody) provides FIPS 140-2 Level 3 dedicated HSMs. TLS implementations across AWS services use FIPS-validated cryptographic modules. Cursive inherits FIPS-validated cryptographic infrastructure from AWS-managed services rather than maintaining separate cryptographic modules. AWS FIPS endpoints can be used where institutional contracts require explicit FIPS endpoint enforcement.
</v>
      </c>
      <c r="E175" s="330" t="str">
        <f>VLOOKUP($A175,'Institution Evaluation'!$A$56:$K$345,5,0)&amp;""</f>
        <v>Provide reference to FIPS 140-3 validation certificates.</v>
      </c>
      <c r="F175" s="188" t="str">
        <f>VLOOKUP($A175,'Institution Evaluation'!$A$56:$K$345,6,0)&amp;""</f>
        <v/>
      </c>
      <c r="G175" s="30" t="str">
        <f>VLOOKUP($A175,'Institution Evaluation'!$A$56:$K$345,7,0)&amp;""</f>
        <v>Yes</v>
      </c>
      <c r="H175" s="185" t="str">
        <f>VLOOKUP($A175,'Institution Evaluation'!$A$56:$K$345,8,0)&amp;""</f>
        <v/>
      </c>
      <c r="I175" s="45" t="str">
        <f>VLOOKUP($A175,'Institution Evaluation'!$A$56:$K$345,9,0)&amp;""</f>
        <v>Critical Importance</v>
      </c>
      <c r="J175" s="186" t="str">
        <f>VLOOKUP($A175,'Institution Evaluation'!$A$56:$K$345,10,0)&amp;""</f>
        <v/>
      </c>
      <c r="K175" s="48" t="str">
        <f>IF(VLOOKUP($A175,'Institution Evaluation'!$A$56:$K$345,10,0)=TRUE,'Auto Responses'!$J$3,"")</f>
        <v/>
      </c>
    </row>
    <row r="176" spans="1:11" ht="409.6" x14ac:dyDescent="0.3">
      <c r="A176" s="19" t="s">
        <v>344</v>
      </c>
      <c r="B176" s="18" t="str">
        <f>VLOOKUP($A176,Questions!$A$2:$X$333,2,0)</f>
        <v>Are ownership rights to all data, inputs, outputs, and metadata retained even through a provider acquisition or bankruptcy event?*</v>
      </c>
      <c r="C176" s="45" t="str">
        <f>VLOOKUP($A176,'Institution Evaluation'!$A$56:$K$345,3,0)&amp;""</f>
        <v>Yes</v>
      </c>
      <c r="D176" s="45" t="str">
        <f>VLOOKUP($A176,'Institution Evaluation'!$A$56:$K$345,4,0)&amp;""</f>
        <v>Ownership rights to institutional data, inputs, outputs, and metadata remain with the institution at all times, including in the event of Cursive Technology, Inc. acquisition, merger, or bankruptcy. The master services agreement and any applicable Data Processing Agreement specify that institutional data is owned by the institution and that Cursive holds the data in a fiduciary capacity. Provisions for institutional data return and deletion in the event of provider business changes are documented and survive termination of the agreement.</v>
      </c>
      <c r="E176" s="330" t="str">
        <f>VLOOKUP($A176,'Institution Evaluation'!$A$56:$K$345,5,0)&amp;""</f>
        <v>Provide references, as needed.</v>
      </c>
      <c r="F176" s="188" t="str">
        <f>VLOOKUP($A176,'Institution Evaluation'!$A$56:$K$345,6,0)&amp;""</f>
        <v/>
      </c>
      <c r="G176" s="30" t="str">
        <f>VLOOKUP($A176,'Institution Evaluation'!$A$56:$K$345,7,0)&amp;""</f>
        <v>Yes</v>
      </c>
      <c r="H176" s="185" t="str">
        <f>VLOOKUP($A176,'Institution Evaluation'!$A$56:$K$345,8,0)&amp;""</f>
        <v/>
      </c>
      <c r="I176" s="45" t="str">
        <f>VLOOKUP($A176,'Institution Evaluation'!$A$56:$K$345,9,0)&amp;""</f>
        <v>Critical Importance</v>
      </c>
      <c r="J176" s="186" t="str">
        <f>VLOOKUP($A176,'Institution Evaluation'!$A$56:$K$345,10,0)&amp;""</f>
        <v/>
      </c>
      <c r="K176" s="48" t="str">
        <f>IF(VLOOKUP($A176,'Institution Evaluation'!$A$56:$K$345,10,0)=TRUE,'Auto Responses'!$J$3,"")</f>
        <v/>
      </c>
    </row>
    <row r="177" spans="1:11" ht="409.6" x14ac:dyDescent="0.3">
      <c r="A177" s="19" t="s">
        <v>346</v>
      </c>
      <c r="B177" s="18" t="str">
        <f>VLOOKUP($A177,Questions!$A$2:$X$333,2,0)</f>
        <v>Do backups containing the institution's data ever leave the institution's data zone either physically or via network routing?*</v>
      </c>
      <c r="C177" s="45" t="str">
        <f>VLOOKUP($A177,'Institution Evaluation'!$A$56:$K$345,3,0)&amp;""</f>
        <v>No</v>
      </c>
      <c r="D177" s="45" t="str">
        <f>VLOOKUP($A177,'Institution Evaluation'!$A$56:$K$345,4,0)&amp;""</f>
        <v>Institutional data does not leave the institution's designated data zone (AWS US-East-1, N. Virginia) through backups or network routing. Backups are stored within the same AWS region using cross-AZ replication for durability and disaster recovery. No backup copies are routed to other AWS regions, transferred to off-AWS storage, or otherwise leave the US-East-1 region without explicit institutional authorization. Where institutional contracts specify alternate regional storage (e.g., for GDPR or PIPL compliance), backup configuration follows the same regional constraint as primary storage.</v>
      </c>
      <c r="E177" s="330" t="str">
        <f>VLOOKUP($A177,'Institution Evaluation'!$A$56:$K$345,5,0)&amp;""</f>
        <v/>
      </c>
      <c r="F177" s="188" t="str">
        <f>VLOOKUP($A177,'Institution Evaluation'!$A$56:$K$345,6,0)&amp;""</f>
        <v/>
      </c>
      <c r="G177" s="30" t="str">
        <f>VLOOKUP($A177,'Institution Evaluation'!$A$56:$K$345,7,0)&amp;""</f>
        <v>No</v>
      </c>
      <c r="H177" s="185" t="str">
        <f>VLOOKUP($A177,'Institution Evaluation'!$A$56:$K$345,8,0)&amp;""</f>
        <v/>
      </c>
      <c r="I177" s="45" t="str">
        <f>VLOOKUP($A177,'Institution Evaluation'!$A$56:$K$345,9,0)&amp;""</f>
        <v>Critical Importance</v>
      </c>
      <c r="J177" s="186" t="str">
        <f>VLOOKUP($A177,'Institution Evaluation'!$A$56:$K$345,10,0)&amp;""</f>
        <v/>
      </c>
      <c r="K177" s="48" t="str">
        <f>IF(VLOOKUP($A177,'Institution Evaluation'!$A$56:$K$345,10,0)=TRUE,'Auto Responses'!$J$3,"")</f>
        <v/>
      </c>
    </row>
    <row r="178" spans="1:11" ht="405" x14ac:dyDescent="0.3">
      <c r="A178" s="19" t="s">
        <v>348</v>
      </c>
      <c r="B178" s="18" t="str">
        <f>VLOOKUP($A178,Questions!$A$2:$X$333,2,0)</f>
        <v>Is media used for long-term retention of business data and archival purposes stored in a secure, environmentally protected area?*</v>
      </c>
      <c r="C178" s="45" t="str">
        <f>VLOOKUP($A178,'Institution Evaluation'!$A$56:$K$345,3,0)&amp;""</f>
        <v>Yes</v>
      </c>
      <c r="D178" s="45" t="str">
        <f>VLOOKUP($A178,'Institution Evaluation'!$A$56:$K$345,4,0)&amp;""</f>
        <v>Long-term retention and archival storage of business data uses AWS S3. AWS data centers provide environmental protections (climate control, fire suppression, redundant power, physical access controls). Archived data inherits the same encryption (AES-256, KMS-managed keys), access controls (IAM least-privilege), and immutability protections as production data. Cursive does not maintain physical media for long-term retention; all archival storage is digital within AWS.</v>
      </c>
      <c r="E178" s="330" t="str">
        <f>VLOOKUP($A178,'Institution Evaluation'!$A$56:$K$345,5,0)&amp;""</f>
        <v>Provide a general summary of your archival environment.</v>
      </c>
      <c r="F178" s="188" t="str">
        <f>VLOOKUP($A178,'Institution Evaluation'!$A$56:$K$345,6,0)&amp;""</f>
        <v/>
      </c>
      <c r="G178" s="30" t="str">
        <f>VLOOKUP($A178,'Institution Evaluation'!$A$56:$K$345,7,0)&amp;""</f>
        <v>Yes</v>
      </c>
      <c r="H178" s="185" t="str">
        <f>VLOOKUP($A178,'Institution Evaluation'!$A$56:$K$345,8,0)&amp;""</f>
        <v/>
      </c>
      <c r="I178" s="45" t="str">
        <f>VLOOKUP($A178,'Institution Evaluation'!$A$56:$K$345,9,0)&amp;""</f>
        <v>Critical Importance</v>
      </c>
      <c r="J178" s="186" t="str">
        <f>VLOOKUP($A178,'Institution Evaluation'!$A$56:$K$345,10,0)&amp;""</f>
        <v/>
      </c>
      <c r="K178" s="48" t="str">
        <f>IF(VLOOKUP($A178,'Institution Evaluation'!$A$56:$K$345,10,0)=TRUE,'Auto Responses'!$J$3,"")</f>
        <v/>
      </c>
    </row>
    <row r="179" spans="1:11" ht="409.6" x14ac:dyDescent="0.3">
      <c r="A179" s="19" t="s">
        <v>352</v>
      </c>
      <c r="B179" s="18" t="str">
        <f>VLOOKUP($A179,Questions!$A$2:$X$333,2,0)</f>
        <v>At the completion of this contract, will data be returned to the institution and/or deleted from all your systems and archives?</v>
      </c>
      <c r="C179" s="45" t="str">
        <f>VLOOKUP($A179,'Institution Evaluation'!$A$56:$K$345,3,0)&amp;""</f>
        <v>Yes</v>
      </c>
      <c r="D179" s="45" t="str">
        <f>VLOOKUP($A179,'Institution Evaluation'!$A$56:$K$345,4,0)&amp;""</f>
        <v>At the completion of an institutional contract, data is either returned to the institution (via standard export channels — most institutional data already resides in the institution's own LMS) or deleted from Cursive's systems per the data deletion procedures in the Cursive Policies and Procedures. Standard practice: 90-day wind-down for data extraction,  followed by hard deletion from production systems and from backups within the next backup retention cycle. A deletion certification can be provided on institutional request, documenting the date of deletion and the systems from which data was deleted.</v>
      </c>
      <c r="E179" s="330" t="str">
        <f>VLOOKUP($A179,'Institution Evaluation'!$A$56:$K$345,5,0)&amp;""</f>
        <v>State the length of time that the institution's data will be available in the system at the completion of the contract.</v>
      </c>
      <c r="F179" s="188" t="str">
        <f>VLOOKUP($A179,'Institution Evaluation'!$A$56:$K$345,6,0)&amp;""</f>
        <v/>
      </c>
      <c r="G179" s="30" t="str">
        <f>VLOOKUP($A179,'Institution Evaluation'!$A$56:$K$345,7,0)&amp;""</f>
        <v>Yes</v>
      </c>
      <c r="H179" s="185" t="str">
        <f>VLOOKUP($A179,'Institution Evaluation'!$A$56:$K$345,8,0)&amp;""</f>
        <v/>
      </c>
      <c r="I179" s="45" t="str">
        <f>VLOOKUP($A179,'Institution Evaluation'!$A$56:$K$345,9,0)&amp;""</f>
        <v>Standard Importance</v>
      </c>
      <c r="J179" s="186" t="str">
        <f>VLOOKUP($A179,'Institution Evaluation'!$A$56:$K$345,10,0)&amp;""</f>
        <v/>
      </c>
      <c r="K179" s="48" t="str">
        <f>IF(VLOOKUP($A179,'Institution Evaluation'!$A$56:$K$345,10,0)=TRUE,'Auto Responses'!$J$3,"")</f>
        <v/>
      </c>
    </row>
    <row r="180" spans="1:11" ht="409.6" x14ac:dyDescent="0.3">
      <c r="A180" s="19" t="s">
        <v>355</v>
      </c>
      <c r="B180" s="18" t="str">
        <f>VLOOKUP($A180,Questions!$A$2:$X$333,2,0)</f>
        <v>Can the institution extract a full or partial backup of data?</v>
      </c>
      <c r="C180" s="45" t="str">
        <f>VLOOKUP($A180,'Institution Evaluation'!$A$56:$K$345,3,0)&amp;""</f>
        <v>Yes</v>
      </c>
      <c r="D180" s="45" t="str">
        <f>VLOOKUP($A180,'Institution Evaluation'!$A$56:$K$345,4,0)&amp;""</f>
        <v>Institutional customers can extract a full or partial backup of data through several mechanisms: (1) Direct extraction from the institutional LMS (Moodle), where most institutional data resides — Moodle's native data export and reporting capabilities apply; (2) Cursive-side data export on institutional request, providing the authorship payloads, audit logs, and other Cursive-stored data scoped to the institution's tenant in standard formats (JSON or CSV); (3) Browser-extension users can extract or delete their own locally-stored data through the extension UI.</v>
      </c>
      <c r="E180" s="330" t="str">
        <f>VLOOKUP($A180,'Institution Evaluation'!$A$56:$K$345,5,0)&amp;""</f>
        <v>Provide a general summary of how full and partial backups of data can be extracted.</v>
      </c>
      <c r="F180" s="188" t="str">
        <f>VLOOKUP($A180,'Institution Evaluation'!$A$56:$K$345,6,0)&amp;""</f>
        <v/>
      </c>
      <c r="G180" s="30" t="str">
        <f>VLOOKUP($A180,'Institution Evaluation'!$A$56:$K$345,7,0)&amp;""</f>
        <v>Yes</v>
      </c>
      <c r="H180" s="185" t="str">
        <f>VLOOKUP($A180,'Institution Evaluation'!$A$56:$K$345,8,0)&amp;""</f>
        <v/>
      </c>
      <c r="I180" s="45" t="str">
        <f>VLOOKUP($A180,'Institution Evaluation'!$A$56:$K$345,9,0)&amp;""</f>
        <v>Standard Importance</v>
      </c>
      <c r="J180" s="186" t="str">
        <f>VLOOKUP($A180,'Institution Evaluation'!$A$56:$K$345,10,0)&amp;""</f>
        <v/>
      </c>
      <c r="K180" s="48" t="str">
        <f>IF(VLOOKUP($A180,'Institution Evaluation'!$A$56:$K$345,10,0)=TRUE,'Auto Responses'!$J$3,"")</f>
        <v/>
      </c>
    </row>
    <row r="181" spans="1:11" ht="409.6" x14ac:dyDescent="0.3">
      <c r="A181" s="19" t="s">
        <v>359</v>
      </c>
      <c r="B181" s="18" t="str">
        <f>VLOOKUP($A181,Questions!$A$2:$X$333,2,0)</f>
        <v>Do current backups include all operating system software, utilities, security software, application software, and data files necessary for recovery?</v>
      </c>
      <c r="C181" s="45" t="str">
        <f>VLOOKUP($A181,'Institution Evaluation'!$A$56:$K$345,3,0)&amp;""</f>
        <v>Yes</v>
      </c>
      <c r="D181" s="45" t="str">
        <f>VLOOKUP($A181,'Institution Evaluation'!$A$56:$K$345,4,0)&amp;""</f>
        <v>Backups include all components necessary for service recovery: AWS RDS automated backups capture database state including schema, data, and configuration; AWS S3 versioning preserves object-level history for institutional data; EKS deployments are managed via Infrastructure as Code (CloudFormation / Terraform under the EKS rebuild) with backed-up configuration; application code is preserved in GitHub with full version history. Together these enable full recovery of operating system state, security configuration, application code, and data files.</v>
      </c>
      <c r="E181" s="330" t="str">
        <f>VLOOKUP($A181,'Institution Evaluation'!$A$56:$K$345,5,0)&amp;""</f>
        <v>Describe your overall strategy to accomplish these elements.</v>
      </c>
      <c r="F181" s="188" t="str">
        <f>VLOOKUP($A181,'Institution Evaluation'!$A$56:$K$345,6,0)&amp;""</f>
        <v/>
      </c>
      <c r="G181" s="30" t="str">
        <f>VLOOKUP($A181,'Institution Evaluation'!$A$56:$K$345,7,0)&amp;""</f>
        <v>Yes</v>
      </c>
      <c r="H181" s="185" t="str">
        <f>VLOOKUP($A181,'Institution Evaluation'!$A$56:$K$345,8,0)&amp;""</f>
        <v/>
      </c>
      <c r="I181" s="45" t="str">
        <f>VLOOKUP($A181,'Institution Evaluation'!$A$56:$K$345,9,0)&amp;""</f>
        <v>Standard Importance</v>
      </c>
      <c r="J181" s="186" t="str">
        <f>VLOOKUP($A181,'Institution Evaluation'!$A$56:$K$345,10,0)&amp;""</f>
        <v/>
      </c>
      <c r="K181" s="48" t="str">
        <f>IF(VLOOKUP($A181,'Institution Evaluation'!$A$56:$K$345,10,0)=TRUE,'Auto Responses'!$J$3,"")</f>
        <v/>
      </c>
    </row>
    <row r="182" spans="1:11" ht="324" x14ac:dyDescent="0.3">
      <c r="A182" s="19" t="s">
        <v>363</v>
      </c>
      <c r="B182" s="18" t="str">
        <f>VLOOKUP($A182,Questions!$A$2:$X$333,2,0)</f>
        <v>Are you performing off-site backups (i.e., digitally moved off site)?</v>
      </c>
      <c r="C182" s="45" t="str">
        <f>VLOOKUP($A182,'Institution Evaluation'!$A$56:$K$345,3,0)&amp;""</f>
        <v>Yes</v>
      </c>
      <c r="D182" s="45" t="str">
        <f>VLOOKUP($A182,'Institution Evaluation'!$A$56:$K$345,4,0)&amp;""</f>
        <v>Off-site (digital) backups are performed through AWS-managed cross-AZ replication and S3 versioning. Backup data resides in physically separate AWS Availability Zones within the US-East-1 region, providing geographic separation from primary storage while remaining within the institution's contracted data zone. AWS Backup service provides additional point-in-time backup capabilities for AWS-managed services.</v>
      </c>
      <c r="E182" s="330" t="str">
        <f>VLOOKUP($A182,'Institution Evaluation'!$A$56:$K$345,5,0)&amp;""</f>
        <v>Summarize your off-site backup strategy.</v>
      </c>
      <c r="F182" s="188" t="str">
        <f>VLOOKUP($A182,'Institution Evaluation'!$A$56:$K$345,6,0)&amp;""</f>
        <v/>
      </c>
      <c r="G182" s="30" t="str">
        <f>VLOOKUP($A182,'Institution Evaluation'!$A$56:$K$345,7,0)&amp;""</f>
        <v>Yes</v>
      </c>
      <c r="H182" s="185" t="str">
        <f>VLOOKUP($A182,'Institution Evaluation'!$A$56:$K$345,8,0)&amp;""</f>
        <v/>
      </c>
      <c r="I182" s="45" t="str">
        <f>VLOOKUP($A182,'Institution Evaluation'!$A$56:$K$345,9,0)&amp;""</f>
        <v>Standard Importance</v>
      </c>
      <c r="J182" s="186" t="str">
        <f>VLOOKUP($A182,'Institution Evaluation'!$A$56:$K$345,10,0)&amp;""</f>
        <v/>
      </c>
      <c r="K182" s="48" t="str">
        <f>IF(VLOOKUP($A182,'Institution Evaluation'!$A$56:$K$345,10,0)=TRUE,'Auto Responses'!$J$3,"")</f>
        <v/>
      </c>
    </row>
    <row r="183" spans="1:11" ht="194.4" x14ac:dyDescent="0.3">
      <c r="A183" s="19" t="s">
        <v>369</v>
      </c>
      <c r="B183" s="18" t="str">
        <f>VLOOKUP($A183,Questions!$A$2:$X$333,2,0)</f>
        <v>Are physical backups taken off-site (i.e., physically moved off site)?</v>
      </c>
      <c r="C183" s="45" t="str">
        <f>VLOOKUP($A183,'Institution Evaluation'!$A$56:$K$345,3,0)&amp;""</f>
        <v>No</v>
      </c>
      <c r="D183" s="45" t="str">
        <f>VLOOKUP($A183,'Institution Evaluation'!$A$56:$K$345,4,0)&amp;""</f>
        <v>Cursive does not maintain physical backups of institutional data. All backups are digital and stored within AWS infrastructure. No physical media containing institutional data is created, transported, or stored off-site.</v>
      </c>
      <c r="E183" s="330" t="str">
        <f>VLOOKUP($A183,'Institution Evaluation'!$A$56:$K$345,5,0)&amp;""</f>
        <v>State any plans to implement off-site physical backups in your environment.</v>
      </c>
      <c r="F183" s="188" t="str">
        <f>VLOOKUP($A183,'Institution Evaluation'!$A$56:$K$345,6,0)&amp;""</f>
        <v/>
      </c>
      <c r="G183" s="30" t="str">
        <f>VLOOKUP($A183,'Institution Evaluation'!$A$56:$K$345,7,0)&amp;""</f>
        <v>Yes</v>
      </c>
      <c r="H183" s="185" t="str">
        <f>VLOOKUP($A183,'Institution Evaluation'!$A$56:$K$345,8,0)&amp;""</f>
        <v/>
      </c>
      <c r="I183" s="45" t="str">
        <f>VLOOKUP($A183,'Institution Evaluation'!$A$56:$K$345,9,0)&amp;""</f>
        <v>Standard Importance</v>
      </c>
      <c r="J183" s="186" t="str">
        <f>VLOOKUP($A183,'Institution Evaluation'!$A$56:$K$345,10,0)&amp;""</f>
        <v/>
      </c>
      <c r="K183" s="48" t="str">
        <f>IF(VLOOKUP($A183,'Institution Evaluation'!$A$56:$K$345,10,0)=TRUE,'Auto Responses'!$J$3,"")</f>
        <v/>
      </c>
    </row>
    <row r="184" spans="1:11" ht="324" x14ac:dyDescent="0.3">
      <c r="A184" s="19" t="s">
        <v>373</v>
      </c>
      <c r="B184" s="18" t="str">
        <f>VLOOKUP($A184,Questions!$A$2:$X$333,2,0)</f>
        <v>Are data backups encrypted?</v>
      </c>
      <c r="C184" s="45" t="str">
        <f>VLOOKUP($A184,'Institution Evaluation'!$A$56:$K$345,3,0)&amp;""</f>
        <v>Yes</v>
      </c>
      <c r="D184" s="45" t="str">
        <f>VLOOKUP($A184,'Institution Evaluation'!$A$56:$K$345,4,0)&amp;""</f>
        <v>All backups are encrypted using AES-256 encryption with AWS KMS-managed keys (consistent with DATA-03). Encryption applies to AWS RDS automated backups, S3 cross-AZ replicas, EBS snapshots, and AWS Backup service vaults. Backup encryption keys are managed through the same KMS infrastructure as production encryption keys, with HSM-backed key storage and IAM-mediated access controls.</v>
      </c>
      <c r="E184" s="330" t="str">
        <f>VLOOKUP($A184,'Institution Evaluation'!$A$56:$K$345,5,0)&amp;""</f>
        <v>Summarize the encryption algorithm/strategy you are using to secure backups.</v>
      </c>
      <c r="F184" s="188" t="str">
        <f>VLOOKUP($A184,'Institution Evaluation'!$A$56:$K$345,6,0)&amp;""</f>
        <v/>
      </c>
      <c r="G184" s="30" t="str">
        <f>VLOOKUP($A184,'Institution Evaluation'!$A$56:$K$345,7,0)&amp;""</f>
        <v>Yes</v>
      </c>
      <c r="H184" s="185" t="str">
        <f>VLOOKUP($A184,'Institution Evaluation'!$A$56:$K$345,8,0)&amp;""</f>
        <v/>
      </c>
      <c r="I184" s="45" t="str">
        <f>VLOOKUP($A184,'Institution Evaluation'!$A$56:$K$345,9,0)&amp;""</f>
        <v>Minor Importance</v>
      </c>
      <c r="J184" s="186" t="str">
        <f>VLOOKUP($A184,'Institution Evaluation'!$A$56:$K$345,10,0)&amp;""</f>
        <v/>
      </c>
      <c r="K184" s="48" t="str">
        <f>IF(VLOOKUP($A184,'Institution Evaluation'!$A$56:$K$345,10,0)=TRUE,'Auto Responses'!$J$3,"")</f>
        <v/>
      </c>
    </row>
    <row r="185" spans="1:11" ht="409.6" x14ac:dyDescent="0.3">
      <c r="A185" s="19" t="s">
        <v>374</v>
      </c>
      <c r="B185" s="18" t="str">
        <f>VLOOKUP($A185,Questions!$A$2:$X$333,2,0)</f>
        <v>Do you have a media handling process that is documented and currently implemented that meets established business needs and regulatory requirements, including end-of-life, repurposing, and data-sanitization procedures?</v>
      </c>
      <c r="C185" s="45" t="str">
        <f>VLOOKUP($A185,'Institution Evaluation'!$A$56:$K$345,3,0)&amp;""</f>
        <v>Yes</v>
      </c>
      <c r="D185" s="45" t="str">
        <f>VLOOKUP($A185,'Institution Evaluation'!$A$56:$K$345,4,0)&amp;""</f>
        <v xml:space="preserve">Cursive does not maintain physical media containing institutional data, so traditional media handling procedures (end-of-life, repurposing, data sanitization for physical storage) do not directly apply. For digital data lifecycle management, the Cursive Policies and Procedures (Data Removal/Disposal section) document deletion procedures including: (1) deletion from production AWS systems on contractual request or end-of-contract; (2) propagation of deletion to backup systems within the next backup retention cycle; (3) verification of deletion completion. AWS-managed physical media handling is inherited from AWS data center procedures, which conform to NIST SP 800-88 standards. Cursive does not have a separate physical media handling program because Cursive does not handle physical media containing institutional data.
</v>
      </c>
      <c r="E185" s="330" t="str">
        <f>VLOOKUP($A185,'Institution Evaluation'!$A$56:$K$345,5,0)&amp;""</f>
        <v>Provide documented details of this process (link or attached).</v>
      </c>
      <c r="F185" s="188" t="str">
        <f>VLOOKUP($A185,'Institution Evaluation'!$A$56:$K$345,6,0)&amp;""</f>
        <v/>
      </c>
      <c r="G185" s="30" t="str">
        <f>VLOOKUP($A185,'Institution Evaluation'!$A$56:$K$345,7,0)&amp;""</f>
        <v>Yes</v>
      </c>
      <c r="H185" s="185" t="str">
        <f>VLOOKUP($A185,'Institution Evaluation'!$A$56:$K$345,8,0)&amp;""</f>
        <v/>
      </c>
      <c r="I185" s="45" t="str">
        <f>VLOOKUP($A185,'Institution Evaluation'!$A$56:$K$345,9,0)&amp;""</f>
        <v>Standard Importance</v>
      </c>
      <c r="J185" s="186" t="str">
        <f>VLOOKUP($A185,'Institution Evaluation'!$A$56:$K$345,10,0)&amp;""</f>
        <v/>
      </c>
      <c r="K185" s="48" t="str">
        <f>IF(VLOOKUP($A185,'Institution Evaluation'!$A$56:$K$345,10,0)=TRUE,'Auto Responses'!$J$3,"")</f>
        <v/>
      </c>
    </row>
    <row r="186" spans="1:11" ht="409.6" x14ac:dyDescent="0.3">
      <c r="A186" s="19" t="s">
        <v>379</v>
      </c>
      <c r="B186" s="18" t="str">
        <f>VLOOKUP($A186,Questions!$A$2:$X$333,2,0)</f>
        <v>Does your staff (or third party) have access to institutional data (e.g., financial, PHI, or other sensitive information) through any means?</v>
      </c>
      <c r="C186" s="45" t="str">
        <f>VLOOKUP($A186,'Institution Evaluation'!$A$56:$K$345,3,0)&amp;""</f>
        <v>No</v>
      </c>
      <c r="D186" s="45" t="str">
        <f>VLOOKUP($A186,'Institution Evaluation'!$A$56:$K$345,4,0)&amp;""</f>
        <v xml:space="preserve">Cursive staff and subprocessors do not have standing access to institutional data. All access to AWS production environments is gated through IAM with least-privilege role scoping. Subprocessors (Brain-Station 23, AWS engineering contractor, Tech Worm LLC) have access to deploy code only and operate in non-production or staging environments by default; production data access is not part of their standing permission set. Cursive does not collect or store financial data, PHI, or other sensitive information beyond the writing process telemetry tied to opaque LMS-issued UUIDs.
</v>
      </c>
      <c r="E186" s="330" t="str">
        <f>VLOOKUP($A186,'Institution Evaluation'!$A$56:$K$345,5,0)&amp;""</f>
        <v/>
      </c>
      <c r="F186" s="188" t="str">
        <f>VLOOKUP($A186,'Institution Evaluation'!$A$56:$K$345,6,0)&amp;""</f>
        <v/>
      </c>
      <c r="G186" s="30" t="str">
        <f>VLOOKUP($A186,'Institution Evaluation'!$A$56:$K$345,7,0)&amp;""</f>
        <v>No</v>
      </c>
      <c r="H186" s="185" t="str">
        <f>VLOOKUP($A186,'Institution Evaluation'!$A$56:$K$345,8,0)&amp;""</f>
        <v/>
      </c>
      <c r="I186" s="45" t="str">
        <f>VLOOKUP($A186,'Institution Evaluation'!$A$56:$K$345,9,0)&amp;""</f>
        <v>Standard Importance</v>
      </c>
      <c r="J186" s="186" t="str">
        <f>VLOOKUP($A186,'Institution Evaluation'!$A$56:$K$345,10,0)&amp;""</f>
        <v/>
      </c>
      <c r="K186" s="48" t="str">
        <f>IF(VLOOKUP($A186,'Institution Evaluation'!$A$56:$K$345,10,0)=TRUE,'Auto Responses'!$J$3,"")</f>
        <v/>
      </c>
    </row>
    <row r="187" spans="1:11" ht="409.6" x14ac:dyDescent="0.3">
      <c r="A187" s="19" t="s">
        <v>398</v>
      </c>
      <c r="B187" s="18" t="str">
        <f>VLOOKUP($A187,Questions!$A$2:$X$333,2,0)</f>
        <v>Are involatile backup copies made according to predefined schedules and securely stored and protected?</v>
      </c>
      <c r="C187" s="45" t="str">
        <f>VLOOKUP($A187,'Institution Evaluation'!$A$56:$K$345,3,0)&amp;""</f>
        <v>Yes</v>
      </c>
      <c r="D187" s="45" t="str">
        <f>VLOOKUP($A187,'Institution Evaluation'!$A$56:$K$345,4,0)&amp;""</f>
        <v>Backup copies are made according to AWS-managed automated schedules: AWS RDS automated daily backups with point-in-time recovery; S3 versioning for object-level history; AWS Backup vaults for application-level backup of AWS-managed resources. Backups are encrypted (AES-256, KMS-managed keys), stored across multiple Availability Zones for durability, retained per the configured retention policy, and protected against deletion through IAM policies and (where applicable) AWS Backup vault lock for write-once retention. Backup integrity is verified through periodic restore testing as part of disaster recovery validation per the Cursive Policies and Procedures.</v>
      </c>
      <c r="E187" s="330" t="str">
        <f>VLOOKUP($A187,'Institution Evaluation'!$A$56:$K$345,5,0)&amp;""</f>
        <v>If your strategy uses different processes for services and data, ensure that all strategies are clearly stated and supported.</v>
      </c>
      <c r="F187" s="188" t="str">
        <f>VLOOKUP($A187,'Institution Evaluation'!$A$56:$K$345,6,0)&amp;""</f>
        <v/>
      </c>
      <c r="G187" s="30" t="str">
        <f>VLOOKUP($A187,'Institution Evaluation'!$A$56:$K$345,7,0)&amp;""</f>
        <v>Yes</v>
      </c>
      <c r="H187" s="185" t="str">
        <f>VLOOKUP($A187,'Institution Evaluation'!$A$56:$K$345,8,0)&amp;""</f>
        <v/>
      </c>
      <c r="I187" s="45" t="str">
        <f>VLOOKUP($A187,'Institution Evaluation'!$A$56:$K$345,9,0)&amp;""</f>
        <v>Minor Importance</v>
      </c>
      <c r="J187" s="186" t="str">
        <f>VLOOKUP($A187,'Institution Evaluation'!$A$56:$K$345,10,0)&amp;""</f>
        <v/>
      </c>
      <c r="K187" s="48" t="str">
        <f>IF(VLOOKUP($A187,'Institution Evaluation'!$A$56:$K$345,10,0)=TRUE,'Auto Responses'!$J$3,"")</f>
        <v/>
      </c>
    </row>
    <row r="188" spans="1:11" ht="409.6" x14ac:dyDescent="0.3">
      <c r="A188" s="19" t="s">
        <v>402</v>
      </c>
      <c r="B188" s="18" t="str">
        <f>VLOOKUP($A188,Questions!$A$2:$X$333,2,0)</f>
        <v>Do you have a cryptographic key management process (generation, exchange, storage, safeguards, use, vetting, and replacement) that is documented and currently implemented, for all system components (e.g., database, system, web, etc.)?</v>
      </c>
      <c r="C188" s="45" t="str">
        <f>VLOOKUP($A188,'Institution Evaluation'!$A$56:$K$345,3,0)&amp;""</f>
        <v>Yes</v>
      </c>
      <c r="D188" s="45" t="str">
        <f>VLOOKUP($A188,'Institution Evaluation'!$A$56:$K$345,4,0)&amp;""</f>
        <v>Cursive maintains a documented cryptographic key management process per the Cursive Policies and Procedures, leveraging AWS Key Management Service (KMS) for centralized key lifecycle management:
Key generation: Through AWS KMS using FIPS 140-2 Level 3 validated HSMs. Customer-managed KMS keys are generated within AWS KMS for institutional data encryption.
Key exchange: AWS KMS handles key derivation and envelope encryption automatically; data encryption keys (DEKs) are generated per-object/per-record and encrypted by the master KMS key. No manual key exchange occurs.
Storage: KMS master keys are stored in HSM-backed AWS KMS infrastructure; key material is not extractable from KMS.
Safeguards: IAM policies restrict KMS key usage to authorized roles; CloudTrail logs all KMS API calls including key usage; KMS key policies enforce least-privilege access.
Use: Encryption operations are performed within AWS-managed services (S3, RDS, EBS, etc.) using KMS-managed keys without exposing key material to application code.
Vetting: KMS keys are reviewed annually per the Cursive Compliance Policy and Procedure Review Calendar. Subprocessor access to KMS is scoped via IAM least-privilege.
Replacement: KMS supports automatic annual key rotation for AWS-managed components and on-demand rotation for customer-managed keys. Key rotation is enabled per AWS recommended baselines.
The cryptographic key management process applies uniformly across database, system, web, and application components within Cursive's environment.</v>
      </c>
      <c r="E188" s="330" t="str">
        <f>VLOOKUP($A188,'Institution Evaluation'!$A$56:$K$345,5,0)&amp;""</f>
        <v>Summarize your cryptographic key management process.</v>
      </c>
      <c r="F188" s="188" t="str">
        <f>VLOOKUP($A188,'Institution Evaluation'!$A$56:$K$345,6,0)&amp;""</f>
        <v/>
      </c>
      <c r="G188" s="30" t="str">
        <f>VLOOKUP($A188,'Institution Evaluation'!$A$56:$K$345,7,0)&amp;""</f>
        <v>Yes</v>
      </c>
      <c r="H188" s="185" t="str">
        <f>VLOOKUP($A188,'Institution Evaluation'!$A$56:$K$345,8,0)&amp;""</f>
        <v/>
      </c>
      <c r="I188" s="45" t="str">
        <f>VLOOKUP($A188,'Institution Evaluation'!$A$56:$K$345,9,0)&amp;""</f>
        <v>Minor Importance</v>
      </c>
      <c r="J188" s="186" t="str">
        <f>VLOOKUP($A188,'Institution Evaluation'!$A$56:$K$345,10,0)&amp;""</f>
        <v/>
      </c>
      <c r="K188" s="48" t="str">
        <f>IF(VLOOKUP($A188,'Institution Evaluation'!$A$56:$K$345,10,0)=TRUE,'Auto Responses'!$J$3,"")</f>
        <v/>
      </c>
    </row>
    <row r="189" spans="1:11" s="1" customFormat="1" ht="17.399999999999999" x14ac:dyDescent="0.25">
      <c r="A189" s="63" t="str">
        <f>VLOOKUP(LEFT($A190,4),'Auto Responses'!$N$4:$O$38,2,0)&amp;""</f>
        <v xml:space="preserve"> Datacenter</v>
      </c>
      <c r="B189" s="22"/>
      <c r="C189" s="31"/>
      <c r="D189" s="31"/>
      <c r="E189" s="331"/>
      <c r="F189" s="132" t="s">
        <v>1030</v>
      </c>
      <c r="G189" s="335" t="s">
        <v>869</v>
      </c>
      <c r="H189" s="335" t="s">
        <v>871</v>
      </c>
      <c r="I189" s="335" t="s">
        <v>19</v>
      </c>
      <c r="J189" s="335" t="s">
        <v>856</v>
      </c>
      <c r="K189" s="31"/>
    </row>
    <row r="190" spans="1:11" ht="113.4" x14ac:dyDescent="0.3">
      <c r="A190" s="19" t="s">
        <v>407</v>
      </c>
      <c r="B190" s="18" t="str">
        <f>VLOOKUP($A190,Questions!$A$2:$X$333,2,0)</f>
        <v>Select your hosting option.</v>
      </c>
      <c r="C190" s="45" t="str">
        <f>VLOOKUP($A190,'Institution Evaluation'!$A$56:$K$345,3,0)&amp;""</f>
        <v>AWS</v>
      </c>
      <c r="D190" s="45" t="str">
        <f>VLOOKUP($A190,'Institution Evaluation'!$A$56:$K$345,4,0)&amp;""</f>
        <v>Amazon Web Services (AWS), US-East-1 (N. Virginia) region. AWS is a SOC 2 Type 2, ISO 27001, FedRAMP, and HIPAA-eligible cloud provider.</v>
      </c>
      <c r="E190" s="330" t="str">
        <f>VLOOKUP($A190,'Institution Evaluation'!$A$56:$K$345,5,0)&amp;""</f>
        <v/>
      </c>
      <c r="F190" s="188" t="str">
        <f>VLOOKUP($A190,'Institution Evaluation'!$A$56:$K$345,6,0)&amp;""</f>
        <v/>
      </c>
      <c r="G190" s="30" t="str">
        <f>VLOOKUP($A190,'Institution Evaluation'!$A$56:$K$345,7,0)&amp;""</f>
        <v>Not scored</v>
      </c>
      <c r="H190" s="185" t="str">
        <f>VLOOKUP($A190,'Institution Evaluation'!$A$56:$K$345,8,0)&amp;""</f>
        <v/>
      </c>
      <c r="I190" s="45" t="str">
        <f>VLOOKUP($A190,'Institution Evaluation'!$A$56:$K$345,9,0)&amp;""</f>
        <v/>
      </c>
      <c r="J190" s="186" t="str">
        <f>VLOOKUP($A190,'Institution Evaluation'!$A$56:$K$345,10,0)&amp;""</f>
        <v/>
      </c>
      <c r="K190" s="48" t="str">
        <f>IF(VLOOKUP($A190,'Institution Evaluation'!$A$56:$K$345,10,0)=TRUE,'Auto Responses'!$J$3,"")</f>
        <v/>
      </c>
    </row>
    <row r="191" spans="1:11" ht="409.6" x14ac:dyDescent="0.3">
      <c r="A191" s="19" t="s">
        <v>414</v>
      </c>
      <c r="B191" s="18" t="str">
        <f>VLOOKUP($A191,Questions!$A$2:$X$333,2,0)</f>
        <v>Are you generally able to accommodate storing each institution's data within its geographic region?</v>
      </c>
      <c r="C191" s="45" t="str">
        <f>VLOOKUP($A191,'Institution Evaluation'!$A$56:$K$345,3,0)&amp;""</f>
        <v>Yes</v>
      </c>
      <c r="D191" s="45" t="str">
        <f>VLOOKUP($A191,'Institution Evaluation'!$A$56:$K$345,4,0)&amp;""</f>
        <v xml:space="preserve">Cursive currently hosts institutional data exclusively in AWS US-East-1 (N. Virginia). Where contractually required or where institutional policy mandates in-region storage, Cursive can accommodate alternate AWS regions including AWS regions in EU (Frankfurt, Ireland), Asia Pacific, and others — AWS operates 30+ regions globally. Region selection requires institutional engagement and contract review to align with applicable data residency, regulatory (GDPR, PIPL), and operational requirements.
</v>
      </c>
      <c r="E191" s="330" t="str">
        <f>VLOOKUP($A191,'Institution Evaluation'!$A$56:$K$345,5,0)&amp;""</f>
        <v>Please indicate which geographic regions you can provide storage in the Additional Info column.</v>
      </c>
      <c r="F191" s="188" t="str">
        <f>VLOOKUP($A191,'Institution Evaluation'!$A$56:$K$345,6,0)&amp;""</f>
        <v/>
      </c>
      <c r="G191" s="30" t="str">
        <f>VLOOKUP($A191,'Institution Evaluation'!$A$56:$K$345,7,0)&amp;""</f>
        <v>Yes</v>
      </c>
      <c r="H191" s="185" t="str">
        <f>VLOOKUP($A191,'Institution Evaluation'!$A$56:$K$345,8,0)&amp;""</f>
        <v/>
      </c>
      <c r="I191" s="45" t="str">
        <f>VLOOKUP($A191,'Institution Evaluation'!$A$56:$K$345,9,0)&amp;""</f>
        <v>Standard Importance</v>
      </c>
      <c r="J191" s="186" t="str">
        <f>VLOOKUP($A191,'Institution Evaluation'!$A$56:$K$345,10,0)&amp;""</f>
        <v/>
      </c>
      <c r="K191" s="48" t="str">
        <f>IF(VLOOKUP($A191,'Institution Evaluation'!$A$56:$K$345,10,0)=TRUE,'Auto Responses'!$J$3,"")</f>
        <v/>
      </c>
    </row>
    <row r="192" spans="1:11" s="1" customFormat="1" ht="17.399999999999999" x14ac:dyDescent="0.25">
      <c r="A192" s="63" t="str">
        <f>VLOOKUP(LEFT($A193,4),'Auto Responses'!$N$4:$O$38,2,0)&amp;""</f>
        <v xml:space="preserve"> Firewalls, IDS, IPS, and Networking</v>
      </c>
      <c r="B192" s="22"/>
      <c r="C192" s="31"/>
      <c r="D192" s="31"/>
      <c r="E192" s="331"/>
      <c r="F192" s="132" t="s">
        <v>1030</v>
      </c>
      <c r="G192" s="335" t="s">
        <v>869</v>
      </c>
      <c r="H192" s="335" t="s">
        <v>871</v>
      </c>
      <c r="I192" s="335" t="s">
        <v>19</v>
      </c>
      <c r="J192" s="335" t="s">
        <v>856</v>
      </c>
      <c r="K192" s="31"/>
    </row>
    <row r="193" spans="1:11" ht="275.39999999999998" x14ac:dyDescent="0.3">
      <c r="A193" s="19" t="s">
        <v>462</v>
      </c>
      <c r="B193" s="18" t="str">
        <f>VLOOKUP($A193,Questions!$A$2:$X$333,2,0)</f>
        <v>Are you utilizing a stateful packet inspection (SPI) firewall?*</v>
      </c>
      <c r="C193" s="45" t="str">
        <f>VLOOKUP($A193,'Institution Evaluation'!$A$56:$K$345,3,0)&amp;""</f>
        <v>Yes</v>
      </c>
      <c r="D193" s="45" t="str">
        <f>VLOOKUP($A193,'Institution Evaluation'!$A$56:$K$345,4,0)&amp;""</f>
        <v>Cursive employs stateful packet inspection through AWS Network Firewall and AWS Security Groups. AWS Network Firewall provides stateful traffic inspection with rule-based filtering at the VPC perimeter; AWS Security Groups provide stateful instance-level filtering. Both inherit AWS's underlying network security infrastructure.</v>
      </c>
      <c r="E193" s="330" t="str">
        <f>VLOOKUP($A193,'Institution Evaluation'!$A$56:$K$345,5,0)&amp;""</f>
        <v>Describe the currently implemented SPI firewall.</v>
      </c>
      <c r="F193" s="188" t="str">
        <f>VLOOKUP($A193,'Institution Evaluation'!$A$56:$K$345,6,0)&amp;""</f>
        <v/>
      </c>
      <c r="G193" s="30" t="str">
        <f>VLOOKUP($A193,'Institution Evaluation'!$A$56:$K$345,7,0)&amp;""</f>
        <v>Yes</v>
      </c>
      <c r="H193" s="185" t="str">
        <f>VLOOKUP($A193,'Institution Evaluation'!$A$56:$K$345,8,0)&amp;""</f>
        <v/>
      </c>
      <c r="I193" s="45" t="str">
        <f>VLOOKUP($A193,'Institution Evaluation'!$A$56:$K$345,9,0)&amp;""</f>
        <v>Critical Importance</v>
      </c>
      <c r="J193" s="186" t="str">
        <f>VLOOKUP($A193,'Institution Evaluation'!$A$56:$K$345,10,0)&amp;""</f>
        <v/>
      </c>
      <c r="K193" s="48" t="str">
        <f>IF(VLOOKUP($A193,'Institution Evaluation'!$A$56:$K$345,10,0)=TRUE,'Auto Responses'!$J$3,"")</f>
        <v/>
      </c>
    </row>
    <row r="194" spans="1:11" ht="372.6" x14ac:dyDescent="0.3">
      <c r="A194" s="19" t="s">
        <v>465</v>
      </c>
      <c r="B194" s="18" t="str">
        <f>VLOOKUP($A194,Questions!$A$2:$X$333,2,0)</f>
        <v>Do you have a documented policy for firewall change requests?*</v>
      </c>
      <c r="C194" s="45" t="str">
        <f>VLOOKUP($A194,'Institution Evaluation'!$A$56:$K$345,3,0)&amp;""</f>
        <v>Yes</v>
      </c>
      <c r="D194" s="45" t="str">
        <f>VLOOKUP($A194,'Institution Evaluation'!$A$56:$K$345,4,0)&amp;""</f>
        <v>Firewall change requests follow Cursive's documented change management process per the Cursive Policies and Procedures and SDLC. Network and firewall configuration changes are managed as code where possible (Infrastructure as Code via AWS CloudFormation / Terraform under the EKS rebuild), require Founder/CEO approval, undergo Security Impact Analysis, and are deployed through the standard QA/Release workflow with audit logging via AWS CloudTrail.</v>
      </c>
      <c r="E194" s="330" t="str">
        <f>VLOOKUP($A194,'Institution Evaluation'!$A$56:$K$345,5,0)&amp;""</f>
        <v>Describe your documented firewall change request policy.</v>
      </c>
      <c r="F194" s="188" t="str">
        <f>VLOOKUP($A194,'Institution Evaluation'!$A$56:$K$345,6,0)&amp;""</f>
        <v/>
      </c>
      <c r="G194" s="30" t="str">
        <f>VLOOKUP($A194,'Institution Evaluation'!$A$56:$K$345,7,0)&amp;""</f>
        <v>Yes</v>
      </c>
      <c r="H194" s="185" t="str">
        <f>VLOOKUP($A194,'Institution Evaluation'!$A$56:$K$345,8,0)&amp;""</f>
        <v/>
      </c>
      <c r="I194" s="45" t="str">
        <f>VLOOKUP($A194,'Institution Evaluation'!$A$56:$K$345,9,0)&amp;""</f>
        <v>Critical Importance</v>
      </c>
      <c r="J194" s="186" t="str">
        <f>VLOOKUP($A194,'Institution Evaluation'!$A$56:$K$345,10,0)&amp;""</f>
        <v/>
      </c>
      <c r="K194" s="48" t="str">
        <f>IF(VLOOKUP($A194,'Institution Evaluation'!$A$56:$K$345,10,0)=TRUE,'Auto Responses'!$J$3,"")</f>
        <v/>
      </c>
    </row>
    <row r="195" spans="1:11" ht="409.6" x14ac:dyDescent="0.3">
      <c r="A195" s="19" t="s">
        <v>470</v>
      </c>
      <c r="B195" s="18" t="str">
        <f>VLOOKUP($A195,Questions!$A$2:$X$333,2,0)</f>
        <v>Have you implemented an intrusion detection system (network-based)?*</v>
      </c>
      <c r="C195" s="45" t="str">
        <f>VLOOKUP($A195,'Institution Evaluation'!$A$56:$K$345,3,0)&amp;""</f>
        <v>No</v>
      </c>
      <c r="D195" s="45" t="str">
        <f>VLOOKUP($A195,'Institution Evaluation'!$A$56:$K$345,4,0)&amp;""</f>
        <v xml:space="preserve">Cursive does not currently operate a dedicated network-based intrusion detection system. Network-layer protection is provided through AWS Network Firewall (per FIDP-01), AWS Security Groups, VPC isolation, and TLS 1.2+ encryption on all network traffic. AWS GuardDuty (which provides managed threat detection for AWS environments including network-flow analysis, DNS analysis, and anomaly detection) is under evaluation as part of the EKS rebuild and AWS security certification effort. Once GuardDuty is enabled, this control will move to "Yes."
</v>
      </c>
      <c r="E195" s="330" t="str">
        <f>VLOOKUP($A195,'Institution Evaluation'!$A$56:$K$345,5,0)&amp;""</f>
        <v>Describe your plan to implement an intrusion detection system in your environment.</v>
      </c>
      <c r="F195" s="188" t="str">
        <f>VLOOKUP($A195,'Institution Evaluation'!$A$56:$K$345,6,0)&amp;""</f>
        <v/>
      </c>
      <c r="G195" s="30" t="str">
        <f>VLOOKUP($A195,'Institution Evaluation'!$A$56:$K$345,7,0)&amp;""</f>
        <v>Yes</v>
      </c>
      <c r="H195" s="185" t="str">
        <f>VLOOKUP($A195,'Institution Evaluation'!$A$56:$K$345,8,0)&amp;""</f>
        <v/>
      </c>
      <c r="I195" s="45" t="str">
        <f>VLOOKUP($A195,'Institution Evaluation'!$A$56:$K$345,9,0)&amp;""</f>
        <v>Critical Importance</v>
      </c>
      <c r="J195" s="186" t="str">
        <f>VLOOKUP($A195,'Institution Evaluation'!$A$56:$K$345,10,0)&amp;""</f>
        <v/>
      </c>
      <c r="K195" s="48" t="str">
        <f>IF(VLOOKUP($A195,'Institution Evaluation'!$A$56:$K$345,10,0)=TRUE,'Auto Responses'!$J$3,"")</f>
        <v/>
      </c>
    </row>
    <row r="196" spans="1:11" ht="409.6" x14ac:dyDescent="0.3">
      <c r="A196" s="19" t="s">
        <v>475</v>
      </c>
      <c r="B196" s="18" t="str">
        <f>VLOOKUP($A196,Questions!$A$2:$X$333,2,0)</f>
        <v>Do you employ host-based intrusion detection?*</v>
      </c>
      <c r="C196" s="45" t="str">
        <f>VLOOKUP($A196,'Institution Evaluation'!$A$56:$K$345,3,0)&amp;""</f>
        <v>No</v>
      </c>
      <c r="D196" s="45" t="str">
        <f>VLOOKUP($A196,'Institution Evaluation'!$A$56:$K$345,4,0)&amp;""</f>
        <v>Cursive does not currently operate dedicated host-based intrusion detection on production hosts. AWS-managed services (EKS, RDS, S3) inherit AWS's underlying host security controls. AWS GuardDuty (which includes runtime monitoring for EKS workloads via the EKS Runtime Monitoring feature) is under evaluation for deployment as part of the EKS rebuild. Until host-based IDS is deployed, compensating controls include AWS-managed service hardening, AWS IAM least-privilege scoping, container image scanning, and CloudTrail audit logging.</v>
      </c>
      <c r="E196" s="330" t="str">
        <f>VLOOKUP($A196,'Institution Evaluation'!$A$56:$K$345,5,0)&amp;""</f>
        <v>Describe your plan to implement host-based intrusion detection system capabilities in your environment.</v>
      </c>
      <c r="F196" s="188" t="str">
        <f>VLOOKUP($A196,'Institution Evaluation'!$A$56:$K$345,6,0)&amp;""</f>
        <v/>
      </c>
      <c r="G196" s="30" t="str">
        <f>VLOOKUP($A196,'Institution Evaluation'!$A$56:$K$345,7,0)&amp;""</f>
        <v>Yes</v>
      </c>
      <c r="H196" s="185" t="str">
        <f>VLOOKUP($A196,'Institution Evaluation'!$A$56:$K$345,8,0)&amp;""</f>
        <v/>
      </c>
      <c r="I196" s="45" t="str">
        <f>VLOOKUP($A196,'Institution Evaluation'!$A$56:$K$345,9,0)&amp;""</f>
        <v>Critical Importance</v>
      </c>
      <c r="J196" s="186" t="str">
        <f>VLOOKUP($A196,'Institution Evaluation'!$A$56:$K$345,10,0)&amp;""</f>
        <v/>
      </c>
      <c r="K196" s="48" t="str">
        <f>IF(VLOOKUP($A196,'Institution Evaluation'!$A$56:$K$345,10,0)=TRUE,'Auto Responses'!$J$3,"")</f>
        <v/>
      </c>
    </row>
    <row r="197" spans="1:11" ht="409.6" x14ac:dyDescent="0.3">
      <c r="A197" s="19" t="s">
        <v>478</v>
      </c>
      <c r="B197" s="18" t="str">
        <f>VLOOKUP($A197,Questions!$A$2:$X$333,2,0)</f>
        <v>Are audit logs available for all changes to the network, firewall, IDS, and IPS systems?*</v>
      </c>
      <c r="C197" s="45" t="str">
        <f>VLOOKUP($A197,'Institution Evaluation'!$A$56:$K$345,3,0)&amp;""</f>
        <v>Yes</v>
      </c>
      <c r="D197" s="45" t="str">
        <f>VLOOKUP($A197,'Institution Evaluation'!$A$56:$K$345,4,0)&amp;""</f>
        <v>Audit logs are available for all changes to network, firewall, and (when enabled) IDS configurations through AWS CloudTrail, which logs all AWS API calls including network and security configuration changes. CloudTrail logs are retained per the audit retention requirements in the Cursive Policies and Procedures (3+ years), are immutable, and are accessible to authorized Cursive personnel for review and to institutional customers under audit on contractual request. AWS Config (under deployment as part of the EKS rebuild) will provide additional configuration change tracking with point-in-time state history.</v>
      </c>
      <c r="E197" s="330" t="str">
        <f>VLOOKUP($A197,'Institution Evaluation'!$A$56:$K$345,5,0)&amp;""</f>
        <v>Describe your current network systems logging strategy.</v>
      </c>
      <c r="F197" s="188" t="str">
        <f>VLOOKUP($A197,'Institution Evaluation'!$A$56:$K$345,6,0)&amp;""</f>
        <v/>
      </c>
      <c r="G197" s="30" t="str">
        <f>VLOOKUP($A197,'Institution Evaluation'!$A$56:$K$345,7,0)&amp;""</f>
        <v>Yes</v>
      </c>
      <c r="H197" s="185" t="str">
        <f>VLOOKUP($A197,'Institution Evaluation'!$A$56:$K$345,8,0)&amp;""</f>
        <v/>
      </c>
      <c r="I197" s="45" t="str">
        <f>VLOOKUP($A197,'Institution Evaluation'!$A$56:$K$345,9,0)&amp;""</f>
        <v>Critical Importance</v>
      </c>
      <c r="J197" s="186" t="str">
        <f>VLOOKUP($A197,'Institution Evaluation'!$A$56:$K$345,10,0)&amp;""</f>
        <v/>
      </c>
      <c r="K197" s="48" t="str">
        <f>IF(VLOOKUP($A197,'Institution Evaluation'!$A$56:$K$345,10,0)=TRUE,'Auto Responses'!$J$3,"")</f>
        <v/>
      </c>
    </row>
    <row r="198" spans="1:11" ht="388.8" x14ac:dyDescent="0.3">
      <c r="A198" s="19" t="s">
        <v>490</v>
      </c>
      <c r="B198" s="18" t="str">
        <f>VLOOKUP($A198,Questions!$A$2:$X$333,2,0)</f>
        <v>Are you employing any next-generation persistent threat (NGPT) monitoring?</v>
      </c>
      <c r="C198" s="45" t="str">
        <f>VLOOKUP($A198,'Institution Evaluation'!$A$56:$K$345,3,0)&amp;""</f>
        <v>No</v>
      </c>
      <c r="D198" s="45" t="str">
        <f>VLOOKUP($A198,'Institution Evaluation'!$A$56:$K$345,4,0)&amp;""</f>
        <v>Cursive does not currently employ a dedicated next-generation persistent threat (NGPT) monitoring solution. AWS GuardDuty provides managed threat detection capabilities aligned with NGPT objectives (including detection of compromised instances, reconnaissance activity, and malicious behavior patterns) and is under evaluation for deployment as part of the EKS rebuild. AWS Security Hub will provide centralized security finding aggregation once deployed.</v>
      </c>
      <c r="E198" s="330" t="str">
        <f>VLOOKUP($A198,'Institution Evaluation'!$A$56:$K$345,5,0)&amp;""</f>
        <v>Describe your intent to implement NGPT monitoring.</v>
      </c>
      <c r="F198" s="188" t="str">
        <f>VLOOKUP($A198,'Institution Evaluation'!$A$56:$K$345,6,0)&amp;""</f>
        <v/>
      </c>
      <c r="G198" s="30" t="str">
        <f>VLOOKUP($A198,'Institution Evaluation'!$A$56:$K$345,7,0)&amp;""</f>
        <v>Yes</v>
      </c>
      <c r="H198" s="185" t="str">
        <f>VLOOKUP($A198,'Institution Evaluation'!$A$56:$K$345,8,0)&amp;""</f>
        <v/>
      </c>
      <c r="I198" s="45" t="str">
        <f>VLOOKUP($A198,'Institution Evaluation'!$A$56:$K$345,9,0)&amp;""</f>
        <v>Standard Importance</v>
      </c>
      <c r="J198" s="186" t="str">
        <f>VLOOKUP($A198,'Institution Evaluation'!$A$56:$K$345,10,0)&amp;""</f>
        <v/>
      </c>
      <c r="K198" s="48" t="str">
        <f>IF(VLOOKUP($A198,'Institution Evaluation'!$A$56:$K$345,10,0)=TRUE,'Auto Responses'!$J$3,"")</f>
        <v/>
      </c>
    </row>
    <row r="199" spans="1:11" s="1" customFormat="1" ht="17.399999999999999" x14ac:dyDescent="0.25">
      <c r="A199" s="63" t="str">
        <f>VLOOKUP(LEFT($A200,4),'Auto Responses'!$N$4:$O$38,2,0)&amp;""</f>
        <v xml:space="preserve"> Policies, Processes, and Procedures</v>
      </c>
      <c r="B199" s="22"/>
      <c r="C199" s="31"/>
      <c r="D199" s="31"/>
      <c r="E199" s="331"/>
      <c r="F199" s="132" t="s">
        <v>1030</v>
      </c>
      <c r="G199" s="335" t="s">
        <v>869</v>
      </c>
      <c r="H199" s="335" t="s">
        <v>871</v>
      </c>
      <c r="I199" s="335" t="s">
        <v>19</v>
      </c>
      <c r="J199" s="335" t="s">
        <v>856</v>
      </c>
      <c r="K199" s="31"/>
    </row>
    <row r="200" spans="1:11" ht="409.6" x14ac:dyDescent="0.3">
      <c r="A200" s="19" t="s">
        <v>506</v>
      </c>
      <c r="B200" s="18" t="str">
        <f>VLOOKUP($A200,Questions!$A$2:$X$333,2,0)</f>
        <v>Is your company subject to the institution's geographic region's laws and regulations?*</v>
      </c>
      <c r="C200" s="45" t="str">
        <f>VLOOKUP($A200,'Institution Evaluation'!$A$56:$K$345,3,0)&amp;""</f>
        <v>Yes</v>
      </c>
      <c r="D200" s="45" t="str">
        <f>VLOOKUP($A200,'Institution Evaluation'!$A$56:$K$345,4,0)&amp;""</f>
        <v>Cursive is incorporated in Maryland, USA, and is subject to applicable US federal and state law including FERPA (when contracted as a school official), state privacy laws (Maryland PIPA, California CCPA/CPRA where applicable, and other state laws based on institutional location), state breach notification statutes, and applicable federal cybersecurity guidance. For institutional customers in other jurisdictions, Cursive will additionally comply with applicable local laws and regulations through contractual commitment, including PIPL for the existing Shanghai International Studies University engagement and GDPR for any future EU/UK engagements.</v>
      </c>
      <c r="E200" s="330" t="str">
        <f>VLOOKUP($A200,'Institution Evaluation'!$A$56:$K$345,5,0)&amp;""</f>
        <v>State the country that governs and regulates your company.</v>
      </c>
      <c r="F200" s="188" t="str">
        <f>VLOOKUP($A200,'Institution Evaluation'!$A$56:$K$345,6,0)&amp;""</f>
        <v/>
      </c>
      <c r="G200" s="30" t="str">
        <f>VLOOKUP($A200,'Institution Evaluation'!$A$56:$K$345,7,0)&amp;""</f>
        <v>Yes</v>
      </c>
      <c r="H200" s="185" t="str">
        <f>VLOOKUP($A200,'Institution Evaluation'!$A$56:$K$345,8,0)&amp;""</f>
        <v/>
      </c>
      <c r="I200" s="45" t="str">
        <f>VLOOKUP($A200,'Institution Evaluation'!$A$56:$K$345,9,0)&amp;""</f>
        <v>Critical Importance</v>
      </c>
      <c r="J200" s="186" t="str">
        <f>VLOOKUP($A200,'Institution Evaluation'!$A$56:$K$345,10,0)&amp;""</f>
        <v/>
      </c>
      <c r="K200" s="48" t="str">
        <f>IF(VLOOKUP($A200,'Institution Evaluation'!$A$56:$K$345,10,0)=TRUE,'Auto Responses'!$J$3,"")</f>
        <v/>
      </c>
    </row>
    <row r="201" spans="1:11" ht="409.6" x14ac:dyDescent="0.3">
      <c r="A201" s="19" t="s">
        <v>510</v>
      </c>
      <c r="B201" s="18" t="str">
        <f>VLOOKUP($A201,Questions!$A$2:$X$333,2,0)</f>
        <v>Can you accommodate encryption requirements using open standards?</v>
      </c>
      <c r="C201" s="45" t="str">
        <f>VLOOKUP($A201,'Institution Evaluation'!$A$56:$K$345,3,0)&amp;""</f>
        <v>Yes</v>
      </c>
      <c r="D201" s="45" t="str">
        <f>VLOOKUP($A201,'Institution Evaluation'!$A$56:$K$345,4,0)&amp;""</f>
        <v>Cursive uses open-standard encryption throughout: TLS 1.2+ for data in transit (with industry-standard cipher suites managed through AWS); AES-256 for data at rest (CNSA-approved); RSA and ECDSA for asymmetric cryptography where applicable; HMAC-SHA256 for token integrity (per the QR proof-of-authorship system and API authentication). Encryption is managed through AWS Key Management Service (KMS) using FIPS 140-2 Level 3 validated HSMs. Institutional contracts specifying particular open-standard encryption requirements (specific cipher suites, key sizes, etc.) can be accommodated through configuration.</v>
      </c>
      <c r="E201" s="330" t="str">
        <f>VLOOKUP($A201,'Institution Evaluation'!$A$56:$K$345,5,0)&amp;""</f>
        <v/>
      </c>
      <c r="F201" s="188" t="str">
        <f>VLOOKUP($A201,'Institution Evaluation'!$A$56:$K$345,6,0)&amp;""</f>
        <v/>
      </c>
      <c r="G201" s="30" t="str">
        <f>VLOOKUP($A201,'Institution Evaluation'!$A$56:$K$345,7,0)&amp;""</f>
        <v>Yes</v>
      </c>
      <c r="H201" s="185" t="str">
        <f>VLOOKUP($A201,'Institution Evaluation'!$A$56:$K$345,8,0)&amp;""</f>
        <v/>
      </c>
      <c r="I201" s="45" t="str">
        <f>VLOOKUP($A201,'Institution Evaluation'!$A$56:$K$345,9,0)&amp;""</f>
        <v>Standard Importance</v>
      </c>
      <c r="J201" s="186" t="str">
        <f>VLOOKUP($A201,'Institution Evaluation'!$A$56:$K$345,10,0)&amp;""</f>
        <v/>
      </c>
      <c r="K201" s="48" t="str">
        <f>IF(VLOOKUP($A201,'Institution Evaluation'!$A$56:$K$345,10,0)=TRUE,'Auto Responses'!$J$3,"")</f>
        <v/>
      </c>
    </row>
    <row r="202" spans="1:11" ht="409.6" x14ac:dyDescent="0.3">
      <c r="A202" s="19" t="s">
        <v>531</v>
      </c>
      <c r="B202" s="18" t="str">
        <f>VLOOKUP($A202,Questions!$A$2:$X$333,2,0)</f>
        <v>Will you comply with applicable breach notification laws?</v>
      </c>
      <c r="C202" s="45" t="str">
        <f>VLOOKUP($A202,'Institution Evaluation'!$A$56:$K$345,3,0)&amp;""</f>
        <v>Yes</v>
      </c>
      <c r="D202" s="45" t="str">
        <f>VLOOKUP($A202,'Institution Evaluation'!$A$56:$K$345,4,0)&amp;""</f>
        <v>Cursive will comply with applicable breach notification laws, including state breach notification statutes (Maryland PIPA, California CCPA, and other state laws based on the institutional location), FERPA breach notification expectations for institutional customers acting as school officials, GDPR Article 33/34 obligations for any future EU/UK engagements, and PIPL breach notification requirements for the existing SISU engagement and any future PRC engagements. Cursive's Incident Response Plan in the Cursive Policies and Procedures specifies notification within 24 hours of confirmed breach to affected institutional customers, with downstream end-user notification coordinated with the institution.</v>
      </c>
      <c r="E202" s="330" t="str">
        <f>VLOOKUP($A202,'Institution Evaluation'!$A$56:$K$345,5,0)&amp;""</f>
        <v>State how quickly the institution will be notified of a data breach or security incident.</v>
      </c>
      <c r="F202" s="188" t="str">
        <f>VLOOKUP($A202,'Institution Evaluation'!$A$56:$K$345,6,0)&amp;""</f>
        <v/>
      </c>
      <c r="G202" s="30" t="str">
        <f>VLOOKUP($A202,'Institution Evaluation'!$A$56:$K$345,7,0)&amp;""</f>
        <v>Yes</v>
      </c>
      <c r="H202" s="185" t="str">
        <f>VLOOKUP($A202,'Institution Evaluation'!$A$56:$K$345,8,0)&amp;""</f>
        <v/>
      </c>
      <c r="I202" s="45" t="str">
        <f>VLOOKUP($A202,'Institution Evaluation'!$A$56:$K$345,9,0)&amp;""</f>
        <v>Minor Importance</v>
      </c>
      <c r="J202" s="186" t="str">
        <f>VLOOKUP($A202,'Institution Evaluation'!$A$56:$K$345,10,0)&amp;""</f>
        <v/>
      </c>
      <c r="K202" s="48" t="str">
        <f>IF(VLOOKUP($A202,'Institution Evaluation'!$A$56:$K$345,10,0)=TRUE,'Auto Responses'!$J$3,"")</f>
        <v/>
      </c>
    </row>
    <row r="203" spans="1:11" ht="409.6" x14ac:dyDescent="0.3">
      <c r="A203" s="19" t="s">
        <v>535</v>
      </c>
      <c r="B203" s="18" t="str">
        <f>VLOOKUP($A203,Questions!$A$2:$X$333,2,0)</f>
        <v>Do you have an information security awareness program?</v>
      </c>
      <c r="C203" s="45" t="str">
        <f>VLOOKUP($A203,'Institution Evaluation'!$A$56:$K$345,3,0)&amp;""</f>
        <v>Yes</v>
      </c>
      <c r="D203" s="45" t="str">
        <f>VLOOKUP($A203,'Institution Evaluation'!$A$56:$K$345,4,0)&amp;""</f>
        <v>Cursive operates an information security awareness program for all employees per the Cursive Policies and Procedures. Awareness components: KnowBe4 training modules covering phishing, social engineering, credential hygiene, and incident response; FERPA 201 training (US Department of Education) completed during onboarding; annual review of the Cursive Information Security Policy; ongoing threat awareness communications driven by current threat intelligence and incident learnings. Completion is audited annually per the Cursive Compliance Policy and Procedure Review Calendar.</v>
      </c>
      <c r="E203" s="330" t="str">
        <f>VLOOKUP($A203,'Institution Evaluation'!$A$56:$K$345,5,0)&amp;""</f>
        <v>Summarize your information security awareness program.</v>
      </c>
      <c r="F203" s="188" t="str">
        <f>VLOOKUP($A203,'Institution Evaluation'!$A$56:$K$345,6,0)&amp;""</f>
        <v/>
      </c>
      <c r="G203" s="30" t="str">
        <f>VLOOKUP($A203,'Institution Evaluation'!$A$56:$K$345,7,0)&amp;""</f>
        <v>Yes</v>
      </c>
      <c r="H203" s="185" t="str">
        <f>VLOOKUP($A203,'Institution Evaluation'!$A$56:$K$345,8,0)&amp;""</f>
        <v/>
      </c>
      <c r="I203" s="45" t="str">
        <f>VLOOKUP($A203,'Institution Evaluation'!$A$56:$K$345,9,0)&amp;""</f>
        <v>Minor Importance</v>
      </c>
      <c r="J203" s="186" t="str">
        <f>VLOOKUP($A203,'Institution Evaluation'!$A$56:$K$345,10,0)&amp;""</f>
        <v/>
      </c>
      <c r="K203" s="48" t="str">
        <f>IF(VLOOKUP($A203,'Institution Evaluation'!$A$56:$K$345,10,0)=TRUE,'Auto Responses'!$J$3,"")</f>
        <v/>
      </c>
    </row>
    <row r="204" spans="1:11" ht="259.2" x14ac:dyDescent="0.3">
      <c r="A204" s="19" t="s">
        <v>540</v>
      </c>
      <c r="B204" s="18" t="str">
        <f>VLOOKUP($A204,Questions!$A$2:$X$333,2,0)</f>
        <v>Is security awareness training mandatory for all employees?</v>
      </c>
      <c r="C204" s="45" t="str">
        <f>VLOOKUP($A204,'Institution Evaluation'!$A$56:$K$345,3,0)&amp;""</f>
        <v>Yes</v>
      </c>
      <c r="D204" s="45" t="str">
        <f>VLOOKUP($A204,'Institution Evaluation'!$A$56:$K$345,4,0)&amp;""</f>
        <v>Security awareness training is mandatory for all employees. Mandatory components: KnowBe4 training modules; FERPA 201 training; annual policy acknowledgment. Completion is required during onboarding and annually thereafter. Non-completion triggers access review per the Cursive Policies and Procedures.</v>
      </c>
      <c r="E204" s="330" t="str">
        <f>VLOOKUP($A204,'Institution Evaluation'!$A$56:$K$345,5,0)&amp;""</f>
        <v>Summarize your security awareness training content and state how frequently employees are required to undergo security awareness training.</v>
      </c>
      <c r="F204" s="188" t="str">
        <f>VLOOKUP($A204,'Institution Evaluation'!$A$56:$K$345,6,0)&amp;""</f>
        <v/>
      </c>
      <c r="G204" s="30" t="str">
        <f>VLOOKUP($A204,'Institution Evaluation'!$A$56:$K$345,7,0)&amp;""</f>
        <v>Yes</v>
      </c>
      <c r="H204" s="185" t="str">
        <f>VLOOKUP($A204,'Institution Evaluation'!$A$56:$K$345,8,0)&amp;""</f>
        <v/>
      </c>
      <c r="I204" s="45" t="str">
        <f>VLOOKUP($A204,'Institution Evaluation'!$A$56:$K$345,9,0)&amp;""</f>
        <v>Minor Importance</v>
      </c>
      <c r="J204" s="186" t="str">
        <f>VLOOKUP($A204,'Institution Evaluation'!$A$56:$K$345,10,0)&amp;""</f>
        <v/>
      </c>
      <c r="K204" s="48" t="str">
        <f>IF(VLOOKUP($A204,'Institution Evaluation'!$A$56:$K$345,10,0)=TRUE,'Auto Responses'!$J$3,"")</f>
        <v/>
      </c>
    </row>
    <row r="205" spans="1:11" ht="409.6" x14ac:dyDescent="0.3">
      <c r="A205" s="19" t="s">
        <v>548</v>
      </c>
      <c r="B205" s="18" t="str">
        <f>VLOOKUP($A205,Questions!$A$2:$X$333,2,0)</f>
        <v>Do you have documented, and currently implemented, internal audit processes and procedures?</v>
      </c>
      <c r="C205" s="45" t="str">
        <f>VLOOKUP($A205,'Institution Evaluation'!$A$56:$K$345,3,0)&amp;""</f>
        <v>Yes</v>
      </c>
      <c r="D205" s="45" t="str">
        <f>VLOOKUP($A205,'Institution Evaluation'!$A$56:$K$345,4,0)&amp;""</f>
        <v>Cursive has documented and currently implemented internal audit processes per the Cursive Policies and Procedures (Audit &amp; Accountability section). Internal audit components include: annual review of all Cursive policies and procedures per the Compliance Policy and Procedure Review Calendar; quarterly review of privileged account access; ongoing review of POAM items and remediation progress; periodic configuration audits of AWS resources, GitHub repositories, and other production systems; review of subprocessor compliance with engagement terms. Internal audit findings drive POAM updates and Linear ticket creation for remediation.</v>
      </c>
      <c r="E205" s="330" t="str">
        <f>VLOOKUP($A205,'Institution Evaluation'!$A$56:$K$345,5,0)&amp;""</f>
        <v>Summarize your internal audit processes and procedures.</v>
      </c>
      <c r="F205" s="188" t="str">
        <f>VLOOKUP($A205,'Institution Evaluation'!$A$56:$K$345,6,0)&amp;""</f>
        <v/>
      </c>
      <c r="G205" s="30" t="str">
        <f>VLOOKUP($A205,'Institution Evaluation'!$A$56:$K$345,7,0)&amp;""</f>
        <v>Yes</v>
      </c>
      <c r="H205" s="185" t="str">
        <f>VLOOKUP($A205,'Institution Evaluation'!$A$56:$K$345,8,0)&amp;""</f>
        <v/>
      </c>
      <c r="I205" s="45" t="str">
        <f>VLOOKUP($A205,'Institution Evaluation'!$A$56:$K$345,9,0)&amp;""</f>
        <v>Minor Importance</v>
      </c>
      <c r="J205" s="186" t="str">
        <f>VLOOKUP($A205,'Institution Evaluation'!$A$56:$K$345,10,0)&amp;""</f>
        <v/>
      </c>
      <c r="K205" s="48" t="str">
        <f>IF(VLOOKUP($A205,'Institution Evaluation'!$A$56:$K$345,10,0)=TRUE,'Auto Responses'!$J$3,"")</f>
        <v/>
      </c>
    </row>
    <row r="206" spans="1:11" ht="409.6" x14ac:dyDescent="0.3">
      <c r="A206" s="19" t="s">
        <v>553</v>
      </c>
      <c r="B206" s="18" t="str">
        <f>VLOOKUP($A206,Questions!$A$2:$X$333,2,0)</f>
        <v>Does your organization have physical security controls and policies in place?</v>
      </c>
      <c r="C206" s="45" t="str">
        <f>VLOOKUP($A206,'Institution Evaluation'!$A$56:$K$345,3,0)&amp;""</f>
        <v>N/A</v>
      </c>
      <c r="D206" s="45" t="str">
        <f>VLOOKUP($A206,'Institution Evaluation'!$A$56:$K$345,4,0)&amp;""</f>
        <v xml:space="preserve">Cursive does not operate physical facilities containing institutional data — all production hosting is on AWS-managed infrastructure, and Cursive operates as a fully remote organization with no physical office or data center. Physical security controls for institutional data are therefore inherited from AWS data center physical security, which includes 24x7 staffing, physical access controls, intrusion detection, video surveillance, and environmental protection — all documented in AWS's SOC 2 Type 2 reports and ISO 27001 attestation. For staff workstations, endpoint security and remote work practices are documented.
</v>
      </c>
      <c r="E206" s="330" t="str">
        <f>VLOOKUP($A206,'Institution Evaluation'!$A$56:$K$345,5,0)&amp;""</f>
        <v>Please explain why this does not apply to your organization, product or service.</v>
      </c>
      <c r="F206" s="188" t="str">
        <f>VLOOKUP($A206,'Institution Evaluation'!$A$56:$K$345,6,0)&amp;""</f>
        <v/>
      </c>
      <c r="G206" s="30" t="str">
        <f>VLOOKUP($A206,'Institution Evaluation'!$A$56:$K$345,7,0)&amp;""</f>
        <v>Yes</v>
      </c>
      <c r="H206" s="185" t="str">
        <f>VLOOKUP($A206,'Institution Evaluation'!$A$56:$K$345,8,0)&amp;""</f>
        <v/>
      </c>
      <c r="I206" s="45" t="str">
        <f>VLOOKUP($A206,'Institution Evaluation'!$A$56:$K$345,9,0)&amp;""</f>
        <v>Minor Importance</v>
      </c>
      <c r="J206" s="186" t="str">
        <f>VLOOKUP($A206,'Institution Evaluation'!$A$56:$K$345,10,0)&amp;""</f>
        <v/>
      </c>
      <c r="K206" s="48" t="str">
        <f>IF(VLOOKUP($A206,'Institution Evaluation'!$A$56:$K$345,10,0)=TRUE,'Auto Responses'!$J$3,"")</f>
        <v/>
      </c>
    </row>
    <row r="207" spans="1:11" s="1" customFormat="1" ht="17.399999999999999" x14ac:dyDescent="0.25">
      <c r="A207" s="63" t="str">
        <f>VLOOKUP(LEFT($A208,4),'Auto Responses'!$N$4:$O$38,2,0)&amp;""</f>
        <v xml:space="preserve"> Incident Handling</v>
      </c>
      <c r="B207" s="22"/>
      <c r="C207" s="31"/>
      <c r="D207" s="31"/>
      <c r="E207" s="331"/>
      <c r="F207" s="132" t="s">
        <v>1030</v>
      </c>
      <c r="G207" s="335" t="s">
        <v>869</v>
      </c>
      <c r="H207" s="335" t="s">
        <v>871</v>
      </c>
      <c r="I207" s="335" t="s">
        <v>19</v>
      </c>
      <c r="J207" s="335" t="s">
        <v>856</v>
      </c>
      <c r="K207" s="31"/>
    </row>
    <row r="208" spans="1:11" ht="409.6" x14ac:dyDescent="0.3">
      <c r="A208" s="19" t="s">
        <v>558</v>
      </c>
      <c r="B208" s="18" t="str">
        <f>VLOOKUP($A208,Questions!$A$2:$X$333,2,0)</f>
        <v>Do you have a formal incident response plan?</v>
      </c>
      <c r="C208" s="45" t="str">
        <f>VLOOKUP($A208,'Institution Evaluation'!$A$56:$K$345,3,0)&amp;""</f>
        <v>Yes</v>
      </c>
      <c r="D208" s="45" t="str">
        <f>VLOOKUP($A208,'Institution Evaluation'!$A$56:$K$345,4,0)&amp;""</f>
        <v>Cursive maintains a formal documented Incident Response Plan as part of the Cursive Policies and Procedures. The plan covers awareness/identification, Maximum Tolerable Downtime (two business days, excluding weekends and holidays), Recovery Time Objective (72 hours), mobilization of internal and external resources, communication cadence (initial acknowledgement, daily updates, all-clear notification), and remediation. Severity-based remediation timelines are defined: Critical risk within 7 days; High risk within 30 days; Medium risk within 60 days; Low risk within 90 days. Breach notification commitment: within 24 hours of confirmed breach to affected institutional customers, with downstream end-user notification coordinated with the institution. The plan is tested at least annually through an approved test scenario including oral walk-through.</v>
      </c>
      <c r="E208" s="330" t="str">
        <f>VLOOKUP($A208,'Institution Evaluation'!$A$56:$K$345,5,0)&amp;""</f>
        <v>Summarize or provide a link to your formal incident response plan.</v>
      </c>
      <c r="F208" s="188" t="str">
        <f>VLOOKUP($A208,'Institution Evaluation'!$A$56:$K$345,6,0)&amp;""</f>
        <v/>
      </c>
      <c r="G208" s="30" t="str">
        <f>VLOOKUP($A208,'Institution Evaluation'!$A$56:$K$345,7,0)&amp;""</f>
        <v>Yes</v>
      </c>
      <c r="H208" s="185" t="str">
        <f>VLOOKUP($A208,'Institution Evaluation'!$A$56:$K$345,8,0)&amp;""</f>
        <v/>
      </c>
      <c r="I208" s="45" t="str">
        <f>VLOOKUP($A208,'Institution Evaluation'!$A$56:$K$345,9,0)&amp;""</f>
        <v>Standard Importance</v>
      </c>
      <c r="J208" s="186" t="str">
        <f>VLOOKUP($A208,'Institution Evaluation'!$A$56:$K$345,10,0)&amp;""</f>
        <v/>
      </c>
      <c r="K208" s="48" t="str">
        <f>IF(VLOOKUP($A208,'Institution Evaluation'!$A$56:$K$345,10,0)=TRUE,'Auto Responses'!$J$3,"")</f>
        <v/>
      </c>
    </row>
    <row r="209" spans="1:11" ht="409.6" x14ac:dyDescent="0.3">
      <c r="A209" s="19" t="s">
        <v>562</v>
      </c>
      <c r="B209" s="18" t="str">
        <f>VLOOKUP($A209,Questions!$A$2:$X$333,2,0)</f>
        <v>Do you either have an internal incident response team or retain an external team?</v>
      </c>
      <c r="C209" s="45" t="str">
        <f>VLOOKUP($A209,'Institution Evaluation'!$A$56:$K$345,3,0)&amp;""</f>
        <v>Yes</v>
      </c>
      <c r="D209" s="45" t="str">
        <f>VLOOKUP($A209,'Institution Evaluation'!$A$56:$K$345,4,0)&amp;""</f>
        <v>Cursive operates an internal incident response team, with the Founder/CEO serving as the named incident response lead and Information Security Officer. The internal team is augmented by the AWS engineering subprocessor for infrastructure-layer incidents and by external counsel for legal and breach-notification matters. For institutions requiring third-party Managed Detection and Response (MDR) integration, an external MDR engagement can be evaluated as part of the institutional contract scope.</v>
      </c>
      <c r="E209" s="330" t="str">
        <f>VLOOKUP($A209,'Institution Evaluation'!$A$56:$K$345,5,0)&amp;""</f>
        <v>Summarize your incident response and reporting processes.</v>
      </c>
      <c r="F209" s="188" t="str">
        <f>VLOOKUP($A209,'Institution Evaluation'!$A$56:$K$345,6,0)&amp;""</f>
        <v/>
      </c>
      <c r="G209" s="30" t="str">
        <f>VLOOKUP($A209,'Institution Evaluation'!$A$56:$K$345,7,0)&amp;""</f>
        <v>Yes</v>
      </c>
      <c r="H209" s="185" t="str">
        <f>VLOOKUP($A209,'Institution Evaluation'!$A$56:$K$345,8,0)&amp;""</f>
        <v/>
      </c>
      <c r="I209" s="45" t="str">
        <f>VLOOKUP($A209,'Institution Evaluation'!$A$56:$K$345,9,0)&amp;""</f>
        <v>Minor Importance</v>
      </c>
      <c r="J209" s="186" t="str">
        <f>VLOOKUP($A209,'Institution Evaluation'!$A$56:$K$345,10,0)&amp;""</f>
        <v/>
      </c>
      <c r="K209" s="48" t="str">
        <f>IF(VLOOKUP($A209,'Institution Evaluation'!$A$56:$K$345,10,0)=TRUE,'Auto Responses'!$J$3,"")</f>
        <v/>
      </c>
    </row>
    <row r="210" spans="1:11" ht="409.6" x14ac:dyDescent="0.3">
      <c r="A210" s="19" t="s">
        <v>566</v>
      </c>
      <c r="B210" s="18" t="str">
        <f>VLOOKUP($A210,Questions!$A$2:$X$333,2,0)</f>
        <v>Do you have the capability to respond to incidents on a 24 x 7 x 365 basis?</v>
      </c>
      <c r="C210" s="45" t="str">
        <f>VLOOKUP($A210,'Institution Evaluation'!$A$56:$K$345,3,0)&amp;""</f>
        <v>Yes</v>
      </c>
      <c r="D210" s="45" t="str">
        <f>VLOOKUP($A210,'Institution Evaluation'!$A$56:$K$345,4,0)&amp;""</f>
        <v xml:space="preserve">Cursive's incident response plan provides 24x7x365 response capability. Initial detection and alerting are automated through AWS-native monitoring (CloudTrail, CloudWatch alarms, Network Firewall logs, GuardDuty when enabled). Out-of-hours alerts are delivered via on-call notification to the Founder/CEO. Triage and remediation are initiated upon awareness, with the documented severity-based remediation timelines beginning at the time of confirmed incident. Maximum Tolerable Downtime is documented as two business days per the Incident Response Plan; critical-severity issues are addressed within 7 days regardless of when detected.
</v>
      </c>
      <c r="E210" s="330" t="str">
        <f>VLOOKUP($A210,'Institution Evaluation'!$A$56:$K$345,5,0)&amp;""</f>
        <v>Summarize your internal approach or reference your third-party contractor.</v>
      </c>
      <c r="F210" s="188" t="str">
        <f>VLOOKUP($A210,'Institution Evaluation'!$A$56:$K$345,6,0)&amp;""</f>
        <v/>
      </c>
      <c r="G210" s="30" t="str">
        <f>VLOOKUP($A210,'Institution Evaluation'!$A$56:$K$345,7,0)&amp;""</f>
        <v>Yes</v>
      </c>
      <c r="H210" s="185" t="str">
        <f>VLOOKUP($A210,'Institution Evaluation'!$A$56:$K$345,8,0)&amp;""</f>
        <v/>
      </c>
      <c r="I210" s="45" t="str">
        <f>VLOOKUP($A210,'Institution Evaluation'!$A$56:$K$345,9,0)&amp;""</f>
        <v>Minor Importance</v>
      </c>
      <c r="J210" s="186" t="str">
        <f>VLOOKUP($A210,'Institution Evaluation'!$A$56:$K$345,10,0)&amp;""</f>
        <v/>
      </c>
      <c r="K210" s="48" t="str">
        <f>IF(VLOOKUP($A210,'Institution Evaluation'!$A$56:$K$345,10,0)=TRUE,'Auto Responses'!$J$3,"")</f>
        <v/>
      </c>
    </row>
    <row r="211" spans="1:11" ht="113.4" x14ac:dyDescent="0.3">
      <c r="A211" s="19" t="s">
        <v>570</v>
      </c>
      <c r="B211" s="18" t="str">
        <f>VLOOKUP($A211,Questions!$A$2:$X$333,2,0)</f>
        <v>Do you carry cyber-risk insurance to protect against unforeseen service outages, data that is lost or stolen, and security incidents?</v>
      </c>
      <c r="C211" s="45" t="str">
        <f>VLOOKUP($A211,'Institution Evaluation'!$A$56:$K$345,3,0)&amp;""</f>
        <v>Yes</v>
      </c>
      <c r="D211" s="45" t="str">
        <f>VLOOKUP($A211,'Institution Evaluation'!$A$56:$K$345,4,0)&amp;""</f>
        <v>Cyber risk insurance through The Hanover Insurance Group of Towson, MD. Coverage limits and policy details available under NDA on institutional request.</v>
      </c>
      <c r="E211" s="330" t="str">
        <f>VLOOKUP($A211,'Institution Evaluation'!$A$56:$K$345,5,0)&amp;""</f>
        <v>Describe the coverage in place for this solution.</v>
      </c>
      <c r="F211" s="188" t="str">
        <f>VLOOKUP($A211,'Institution Evaluation'!$A$56:$K$345,6,0)&amp;""</f>
        <v/>
      </c>
      <c r="G211" s="30" t="str">
        <f>VLOOKUP($A211,'Institution Evaluation'!$A$56:$K$345,7,0)&amp;""</f>
        <v>Yes</v>
      </c>
      <c r="H211" s="185" t="str">
        <f>VLOOKUP($A211,'Institution Evaluation'!$A$56:$K$345,8,0)&amp;""</f>
        <v/>
      </c>
      <c r="I211" s="45" t="str">
        <f>VLOOKUP($A211,'Institution Evaluation'!$A$56:$K$345,9,0)&amp;""</f>
        <v>Minor Importance</v>
      </c>
      <c r="J211" s="186" t="str">
        <f>VLOOKUP($A211,'Institution Evaluation'!$A$56:$K$345,10,0)&amp;""</f>
        <v/>
      </c>
      <c r="K211" s="48" t="str">
        <f>IF(VLOOKUP($A211,'Institution Evaluation'!$A$56:$K$345,10,0)=TRUE,'Auto Responses'!$J$3,"")</f>
        <v/>
      </c>
    </row>
    <row r="212" spans="1:11" s="1" customFormat="1" ht="17.399999999999999" x14ac:dyDescent="0.25">
      <c r="A212" s="63" t="str">
        <f>VLOOKUP(LEFT($A213,4),'Auto Responses'!$N$4:$O$38,2,0)&amp;""</f>
        <v xml:space="preserve"> Vulnerability Management</v>
      </c>
      <c r="B212" s="22"/>
      <c r="C212" s="31"/>
      <c r="D212" s="31"/>
      <c r="E212" s="331"/>
      <c r="F212" s="132" t="s">
        <v>1030</v>
      </c>
      <c r="G212" s="335" t="s">
        <v>869</v>
      </c>
      <c r="H212" s="335" t="s">
        <v>871</v>
      </c>
      <c r="I212" s="335" t="s">
        <v>19</v>
      </c>
      <c r="J212" s="335" t="s">
        <v>856</v>
      </c>
      <c r="K212" s="31"/>
    </row>
    <row r="213" spans="1:11" ht="409.6" x14ac:dyDescent="0.3">
      <c r="A213" s="19" t="s">
        <v>572</v>
      </c>
      <c r="B213" s="18" t="str">
        <f>VLOOKUP($A213,Questions!$A$2:$X$333,2,0)</f>
        <v>Are your systems and applications scanned with an authenticated user account for vulnerabilities (that are remediated) prior to new releases?*</v>
      </c>
      <c r="C213" s="45" t="str">
        <f>VLOOKUP($A213,'Institution Evaluation'!$A$56:$K$345,3,0)&amp;""</f>
        <v>No</v>
      </c>
      <c r="D213" s="45" t="str">
        <f>VLOOKUP($A213,'Institution Evaluation'!$A$56:$K$345,4,0)&amp;""</f>
        <v xml:space="preserve">Partly - Vulnerability scanning is performed during development and pre-release through GitHub-native tooling (Dependabot for dependency vulnerability monitoring, CodeQL for code analysis where applicable). Identified vulnerabilities are tracked in the Plan of Action and Milestones (POAM) and Linear ticket workflow with severity-based remediation timelines (Critical: 7 days; High: 30 days; Medium: 60 days; Low: 90 days). Authenticated user-account-based vulnerability scanning of production systems via dedicated SAST/DAST tooling is not currently performed on every release; this is on the application security roadmap as part of the AWS security certification effort and EKS rebuild. Most recent third-party authenticated vulnerability scan: Tenable Nessus, December 2023 / January 2024. Next formal third-party assessment is being scheduled as part of the AWS security certification work currently underway.
</v>
      </c>
      <c r="E213" s="330" t="str">
        <f>VLOOKUP($A213,'Institution Evaluation'!$A$56:$K$345,5,0)&amp;""</f>
        <v>Describe plans to implement application vulnerability scanning (and remediation) prior to release.</v>
      </c>
      <c r="F213" s="188" t="str">
        <f>VLOOKUP($A213,'Institution Evaluation'!$A$56:$K$345,6,0)&amp;""</f>
        <v/>
      </c>
      <c r="G213" s="30" t="str">
        <f>VLOOKUP($A213,'Institution Evaluation'!$A$56:$K$345,7,0)&amp;""</f>
        <v>Yes</v>
      </c>
      <c r="H213" s="185" t="str">
        <f>VLOOKUP($A213,'Institution Evaluation'!$A$56:$K$345,8,0)&amp;""</f>
        <v/>
      </c>
      <c r="I213" s="45" t="str">
        <f>VLOOKUP($A213,'Institution Evaluation'!$A$56:$K$345,9,0)&amp;""</f>
        <v>Critical Importance</v>
      </c>
      <c r="J213" s="186" t="str">
        <f>VLOOKUP($A213,'Institution Evaluation'!$A$56:$K$345,10,0)&amp;""</f>
        <v/>
      </c>
      <c r="K213" s="48" t="str">
        <f>IF(VLOOKUP($A213,'Institution Evaluation'!$A$56:$K$345,10,0)=TRUE,'Auto Responses'!$J$3,"")</f>
        <v/>
      </c>
    </row>
    <row r="214" spans="1:11" ht="409.6" x14ac:dyDescent="0.3">
      <c r="A214" s="19" t="s">
        <v>575</v>
      </c>
      <c r="B214" s="18" t="str">
        <f>VLOOKUP($A214,Questions!$A$2:$X$333,2,0)</f>
        <v>Will you provide results of application and system vulnerability scans to the institution?*</v>
      </c>
      <c r="C214" s="45" t="str">
        <f>VLOOKUP($A214,'Institution Evaluation'!$A$56:$K$345,3,0)&amp;""</f>
        <v>Yes</v>
      </c>
      <c r="D214" s="45" t="str">
        <f>VLOOKUP($A214,'Institution Evaluation'!$A$56:$K$345,4,0)&amp;""</f>
        <v>Cursive will provide vulnerability scan results to institutional customers under NDA on request. Results from third-party assessments (e.g., Tenable Nessus assessment from December 2023 / January 2024) are available; results from future assessments scheduled as part of the AWS security certification work will similarly be available. Active findings tracked in the POAM are also shareable under NDA. Cursive's standard practice is to redact vulnerability details that could enable exploitation if disclosed prematurely; institutions can review summary findings, severity ratings, and remediation status.</v>
      </c>
      <c r="E214" s="330" t="str">
        <f>VLOOKUP($A214,'Institution Evaluation'!$A$56:$K$345,5,0)&amp;""</f>
        <v>Provide a reference to security scan documentation.</v>
      </c>
      <c r="F214" s="188" t="str">
        <f>VLOOKUP($A214,'Institution Evaluation'!$A$56:$K$345,6,0)&amp;""</f>
        <v/>
      </c>
      <c r="G214" s="30" t="str">
        <f>VLOOKUP($A214,'Institution Evaluation'!$A$56:$K$345,7,0)&amp;""</f>
        <v>Yes</v>
      </c>
      <c r="H214" s="185" t="str">
        <f>VLOOKUP($A214,'Institution Evaluation'!$A$56:$K$345,8,0)&amp;""</f>
        <v/>
      </c>
      <c r="I214" s="45" t="str">
        <f>VLOOKUP($A214,'Institution Evaluation'!$A$56:$K$345,9,0)&amp;""</f>
        <v>Critical Importance</v>
      </c>
      <c r="J214" s="186" t="str">
        <f>VLOOKUP($A214,'Institution Evaluation'!$A$56:$K$345,10,0)&amp;""</f>
        <v/>
      </c>
      <c r="K214" s="48" t="str">
        <f>IF(VLOOKUP($A214,'Institution Evaluation'!$A$56:$K$345,10,0)=TRUE,'Auto Responses'!$J$3,"")</f>
        <v/>
      </c>
    </row>
    <row r="215" spans="1:11" ht="409.6" x14ac:dyDescent="0.3">
      <c r="A215" s="19" t="s">
        <v>582</v>
      </c>
      <c r="B215" s="18" t="str">
        <f>VLOOKUP($A215,Questions!$A$2:$X$333,2,0)</f>
        <v>Have your systems and applications had a third-party security assessment completed in the last year?</v>
      </c>
      <c r="C215" s="45" t="str">
        <f>VLOOKUP($A215,'Institution Evaluation'!$A$56:$K$345,3,0)&amp;""</f>
        <v>Yes</v>
      </c>
      <c r="D215" s="45" t="str">
        <f>VLOOKUP($A215,'Institution Evaluation'!$A$56:$K$345,4,0)&amp;""</f>
        <v xml:space="preserve">The most recent third-party security assessment was conducted in December 2023 / January 2024 by Tenable Nessus — outside the one-year window. A new third-party assessment is being scheduled as part of the AWS security certification work currently underway with the dedicated AWS engineering subprocessor and EKS rebuild. Continuous monitoring via AWS-native tools (CloudTrail, Network Firewall logs, GuardDuty under evaluation) provides ongoing security visibility between formal third-party assessments. Cursive will commit to a third-party assessment cadence of at least annually as part of the SOC 2 Type 2 attestation work scoped on the security roadmap.
</v>
      </c>
      <c r="E215" s="330" t="str">
        <f>VLOOKUP($A215,'Institution Evaluation'!$A$56:$K$345,5,0)&amp;""</f>
        <v>Provide the results with this document (link or attached), if possible. State the date of the last completed third-party security assessment.</v>
      </c>
      <c r="F215" s="188" t="str">
        <f>VLOOKUP($A215,'Institution Evaluation'!$A$56:$K$345,6,0)&amp;""</f>
        <v/>
      </c>
      <c r="G215" s="30" t="str">
        <f>VLOOKUP($A215,'Institution Evaluation'!$A$56:$K$345,7,0)&amp;""</f>
        <v>Yes</v>
      </c>
      <c r="H215" s="185" t="str">
        <f>VLOOKUP($A215,'Institution Evaluation'!$A$56:$K$345,8,0)&amp;""</f>
        <v/>
      </c>
      <c r="I215" s="45" t="str">
        <f>VLOOKUP($A215,'Institution Evaluation'!$A$56:$K$345,9,0)&amp;""</f>
        <v>Standard Importance</v>
      </c>
      <c r="J215" s="186" t="str">
        <f>VLOOKUP($A215,'Institution Evaluation'!$A$56:$K$345,10,0)&amp;""</f>
        <v/>
      </c>
      <c r="K215" s="48" t="str">
        <f>IF(VLOOKUP($A215,'Institution Evaluation'!$A$56:$K$345,10,0)=TRUE,'Auto Responses'!$J$3,"")</f>
        <v/>
      </c>
    </row>
    <row r="216" spans="1:11" ht="409.6" x14ac:dyDescent="0.3">
      <c r="A216" s="19" t="s">
        <v>587</v>
      </c>
      <c r="B216" s="18" t="str">
        <f>VLOOKUP($A216,Questions!$A$2:$X$333,2,0)</f>
        <v>Are your systems and applications regularly scanned externally for vulnerabilities?</v>
      </c>
      <c r="C216" s="45" t="str">
        <f>VLOOKUP($A216,'Institution Evaluation'!$A$56:$K$345,3,0)&amp;""</f>
        <v>No</v>
      </c>
      <c r="D216" s="45" t="str">
        <f>VLOOKUP($A216,'Institution Evaluation'!$A$56:$K$345,4,0)&amp;""</f>
        <v xml:space="preserve">In part - External vulnerability monitoring is provided through AWS-native services including AWS Network Firewall (with managed threat signature rules), AWS Shield Standard (DDoS protection, included with all AWS accounts), and AWS GuardDuty (under evaluation for deployment as part of the EKS rebuild. Once enabled, will provide continuous external threat detection including reconnaissance, malicious traffic patterns, and compromised-instance detection). Most recent formal external vulnerability scan: Tenable Nessus, December 2023 / January 2024. Continuous external automated scanning via dedicated commercial tooling is on the security roadmap.
</v>
      </c>
      <c r="E216" s="330" t="str">
        <f>VLOOKUP($A216,'Institution Evaluation'!$A$56:$K$345,5,0)&amp;""</f>
        <v>Describe any plans to implement external vulnerability scanning for your applications.</v>
      </c>
      <c r="F216" s="188" t="str">
        <f>VLOOKUP($A216,'Institution Evaluation'!$A$56:$K$345,6,0)&amp;""</f>
        <v/>
      </c>
      <c r="G216" s="30" t="str">
        <f>VLOOKUP($A216,'Institution Evaluation'!$A$56:$K$345,7,0)&amp;""</f>
        <v>Yes</v>
      </c>
      <c r="H216" s="185" t="str">
        <f>VLOOKUP($A216,'Institution Evaluation'!$A$56:$K$345,8,0)&amp;""</f>
        <v/>
      </c>
      <c r="I216" s="45" t="str">
        <f>VLOOKUP($A216,'Institution Evaluation'!$A$56:$K$345,9,0)&amp;""</f>
        <v>Minor Importance</v>
      </c>
      <c r="J216" s="186" t="str">
        <f>VLOOKUP($A216,'Institution Evaluation'!$A$56:$K$345,10,0)&amp;""</f>
        <v/>
      </c>
      <c r="K216" s="48" t="str">
        <f>IF(VLOOKUP($A216,'Institution Evaluation'!$A$56:$K$345,10,0)=TRUE,'Auto Responses'!$J$3,"")</f>
        <v/>
      </c>
    </row>
    <row r="217" spans="1:11" s="1" customFormat="1" ht="17.399999999999999" x14ac:dyDescent="0.25">
      <c r="A217" s="63" t="str">
        <f>VLOOKUP(LEFT($A218,4),'Auto Responses'!$N$4:$O$38,2,0)&amp;""</f>
        <v xml:space="preserve">HIPAA Compliance </v>
      </c>
      <c r="B217" s="22"/>
      <c r="C217" s="31"/>
      <c r="D217" s="31"/>
      <c r="E217" s="331"/>
      <c r="F217" s="132" t="s">
        <v>1030</v>
      </c>
      <c r="G217" s="335" t="s">
        <v>869</v>
      </c>
      <c r="H217" s="335" t="s">
        <v>871</v>
      </c>
      <c r="I217" s="335" t="s">
        <v>19</v>
      </c>
      <c r="J217" s="335" t="s">
        <v>856</v>
      </c>
      <c r="K217" s="31"/>
    </row>
    <row r="218" spans="1:11" ht="81" x14ac:dyDescent="0.3">
      <c r="A218" s="19" t="s">
        <v>590</v>
      </c>
      <c r="B218" s="18" t="str">
        <f>VLOOKUP($A218,Questions!$A$2:$X$333,2,0)</f>
        <v>Do your workforce members receive regular training related to the Health Insurance Portability and Accountability Act (HIPAA) Privacy and Security Rules and the HITECH Act?*</v>
      </c>
      <c r="C218" s="45" t="str">
        <f>VLOOKUP($A218,'Institution Evaluation'!$A$56:$K$345,3,0)&amp;""</f>
        <v/>
      </c>
      <c r="D218" s="45" t="str">
        <f>VLOOKUP($A218,'Institution Evaluation'!$A$56:$K$345,4,0)&amp;""</f>
        <v>This question does not apply.</v>
      </c>
      <c r="E218" s="330" t="str">
        <f>VLOOKUP($A218,'Institution Evaluation'!$A$56:$K$345,5,0)&amp;""</f>
        <v>Based on the response to REQU-05 on the "START HERE" tab, this question does not apply to this product or service.</v>
      </c>
      <c r="F218" s="188" t="str">
        <f>VLOOKUP($A218,'Institution Evaluation'!$A$56:$K$345,6,0)&amp;""</f>
        <v/>
      </c>
      <c r="G218" s="30" t="str">
        <f>VLOOKUP($A218,'Institution Evaluation'!$A$56:$K$345,7,0)&amp;""</f>
        <v>Yes</v>
      </c>
      <c r="H218" s="185" t="str">
        <f>VLOOKUP($A218,'Institution Evaluation'!$A$56:$K$345,8,0)&amp;""</f>
        <v/>
      </c>
      <c r="I218" s="45" t="str">
        <f>VLOOKUP($A218,'Institution Evaluation'!$A$56:$K$345,9,0)&amp;""</f>
        <v>Critical Importance</v>
      </c>
      <c r="J218" s="186" t="str">
        <f>VLOOKUP($A218,'Institution Evaluation'!$A$56:$K$345,10,0)&amp;""</f>
        <v/>
      </c>
      <c r="K218" s="48" t="str">
        <f>IF(VLOOKUP($A218,'Institution Evaluation'!$A$56:$K$345,10,0)=TRUE,'Auto Responses'!$J$3,"")</f>
        <v/>
      </c>
    </row>
    <row r="219" spans="1:11" ht="81" x14ac:dyDescent="0.3">
      <c r="A219" s="19" t="s">
        <v>595</v>
      </c>
      <c r="B219" s="18" t="str">
        <f>VLOOKUP($A219,Questions!$A$2:$X$333,2,0)</f>
        <v>Have you identified areas of risk?*</v>
      </c>
      <c r="C219" s="45" t="str">
        <f>VLOOKUP($A219,'Institution Evaluation'!$A$56:$K$345,3,0)&amp;""</f>
        <v/>
      </c>
      <c r="D219" s="45" t="str">
        <f>VLOOKUP($A219,'Institution Evaluation'!$A$56:$K$345,4,0)&amp;""</f>
        <v>This question does not apply.</v>
      </c>
      <c r="E219" s="330" t="str">
        <f>VLOOKUP($A219,'Institution Evaluation'!$A$56:$K$345,5,0)&amp;""</f>
        <v>Based on the response to REQU-05 on the "START HERE" tab, this question does not apply to this product or service.</v>
      </c>
      <c r="F219" s="188" t="str">
        <f>VLOOKUP($A219,'Institution Evaluation'!$A$56:$K$345,6,0)&amp;""</f>
        <v/>
      </c>
      <c r="G219" s="30" t="str">
        <f>VLOOKUP($A219,'Institution Evaluation'!$A$56:$K$345,7,0)&amp;""</f>
        <v>Yes</v>
      </c>
      <c r="H219" s="185" t="str">
        <f>VLOOKUP($A219,'Institution Evaluation'!$A$56:$K$345,8,0)&amp;""</f>
        <v/>
      </c>
      <c r="I219" s="45" t="str">
        <f>VLOOKUP($A219,'Institution Evaluation'!$A$56:$K$345,9,0)&amp;""</f>
        <v>Critical Importance</v>
      </c>
      <c r="J219" s="186" t="str">
        <f>VLOOKUP($A219,'Institution Evaluation'!$A$56:$K$345,10,0)&amp;""</f>
        <v/>
      </c>
      <c r="K219" s="48" t="str">
        <f>IF(VLOOKUP($A219,'Institution Evaluation'!$A$56:$K$345,10,0)=TRUE,'Auto Responses'!$J$3,"")</f>
        <v/>
      </c>
    </row>
    <row r="220" spans="1:11" ht="81" x14ac:dyDescent="0.3">
      <c r="A220" s="19" t="s">
        <v>597</v>
      </c>
      <c r="B220" s="18" t="str">
        <f>VLOOKUP($A220,Questions!$A$2:$X$333,2,0)</f>
        <v>Have the relevant policies/plans been tested?*</v>
      </c>
      <c r="C220" s="45" t="str">
        <f>VLOOKUP($A220,'Institution Evaluation'!$A$56:$K$345,3,0)&amp;""</f>
        <v/>
      </c>
      <c r="D220" s="45" t="str">
        <f>VLOOKUP($A220,'Institution Evaluation'!$A$56:$K$345,4,0)&amp;""</f>
        <v>This question does not apply.</v>
      </c>
      <c r="E220" s="330" t="str">
        <f>VLOOKUP($A220,'Institution Evaluation'!$A$56:$K$345,5,0)&amp;""</f>
        <v>Based on the response to REQU-05 on the "START HERE" tab, this question does not apply to this product or service.</v>
      </c>
      <c r="F220" s="188" t="str">
        <f>VLOOKUP($A220,'Institution Evaluation'!$A$56:$K$345,6,0)&amp;""</f>
        <v/>
      </c>
      <c r="G220" s="30" t="str">
        <f>VLOOKUP($A220,'Institution Evaluation'!$A$56:$K$345,7,0)&amp;""</f>
        <v>Yes</v>
      </c>
      <c r="H220" s="185" t="str">
        <f>VLOOKUP($A220,'Institution Evaluation'!$A$56:$K$345,8,0)&amp;""</f>
        <v/>
      </c>
      <c r="I220" s="45" t="str">
        <f>VLOOKUP($A220,'Institution Evaluation'!$A$56:$K$345,9,0)&amp;""</f>
        <v>Critical Importance</v>
      </c>
      <c r="J220" s="186" t="str">
        <f>VLOOKUP($A220,'Institution Evaluation'!$A$56:$K$345,10,0)&amp;""</f>
        <v/>
      </c>
      <c r="K220" s="48" t="str">
        <f>IF(VLOOKUP($A220,'Institution Evaluation'!$A$56:$K$345,10,0)=TRUE,'Auto Responses'!$J$3,"")</f>
        <v/>
      </c>
    </row>
    <row r="221" spans="1:11" ht="81" x14ac:dyDescent="0.3">
      <c r="A221" s="19" t="s">
        <v>599</v>
      </c>
      <c r="B221" s="18" t="str">
        <f>VLOOKUP($A221,Questions!$A$2:$X$333,2,0)</f>
        <v>Have you entered into a Business Associate Agreements with all subcontractors who may have access to protected health information (PHI)?*</v>
      </c>
      <c r="C221" s="45" t="str">
        <f>VLOOKUP($A221,'Institution Evaluation'!$A$56:$K$345,3,0)&amp;""</f>
        <v/>
      </c>
      <c r="D221" s="45" t="str">
        <f>VLOOKUP($A221,'Institution Evaluation'!$A$56:$K$345,4,0)&amp;""</f>
        <v>This question does not apply.</v>
      </c>
      <c r="E221" s="330" t="str">
        <f>VLOOKUP($A221,'Institution Evaluation'!$A$56:$K$345,5,0)&amp;""</f>
        <v>Based on the response to REQU-05 on the "START HERE" tab, this question does not apply to this product or service.</v>
      </c>
      <c r="F221" s="188" t="str">
        <f>VLOOKUP($A221,'Institution Evaluation'!$A$56:$K$345,6,0)&amp;""</f>
        <v/>
      </c>
      <c r="G221" s="30" t="str">
        <f>VLOOKUP($A221,'Institution Evaluation'!$A$56:$K$345,7,0)&amp;""</f>
        <v>Yes</v>
      </c>
      <c r="H221" s="185" t="str">
        <f>VLOOKUP($A221,'Institution Evaluation'!$A$56:$K$345,8,0)&amp;""</f>
        <v/>
      </c>
      <c r="I221" s="45" t="str">
        <f>VLOOKUP($A221,'Institution Evaluation'!$A$56:$K$345,9,0)&amp;""</f>
        <v>Critical Importance</v>
      </c>
      <c r="J221" s="186" t="str">
        <f>VLOOKUP($A221,'Institution Evaluation'!$A$56:$K$345,10,0)&amp;""</f>
        <v/>
      </c>
      <c r="K221" s="48" t="str">
        <f>IF(VLOOKUP($A221,'Institution Evaluation'!$A$56:$K$345,10,0)=TRUE,'Auto Responses'!$J$3,"")</f>
        <v/>
      </c>
    </row>
    <row r="222" spans="1:11" ht="81" x14ac:dyDescent="0.3">
      <c r="A222" s="19" t="s">
        <v>601</v>
      </c>
      <c r="B222" s="18" t="str">
        <f>VLOOKUP($A222,Questions!$A$2:$X$333,2,0)</f>
        <v>Do you monitor or receive information regarding changes in HIPAA regulations?</v>
      </c>
      <c r="C222" s="45" t="str">
        <f>VLOOKUP($A222,'Institution Evaluation'!$A$56:$K$345,3,0)&amp;""</f>
        <v/>
      </c>
      <c r="D222" s="45" t="str">
        <f>VLOOKUP($A222,'Institution Evaluation'!$A$56:$K$345,4,0)&amp;""</f>
        <v>This question does not apply.</v>
      </c>
      <c r="E222" s="330" t="str">
        <f>VLOOKUP($A222,'Institution Evaluation'!$A$56:$K$345,5,0)&amp;""</f>
        <v>Based on the response to REQU-05 on the "START HERE" tab, this question does not apply to this product or service.</v>
      </c>
      <c r="F222" s="188" t="str">
        <f>VLOOKUP($A222,'Institution Evaluation'!$A$56:$K$345,6,0)&amp;""</f>
        <v/>
      </c>
      <c r="G222" s="30" t="str">
        <f>VLOOKUP($A222,'Institution Evaluation'!$A$56:$K$345,7,0)&amp;""</f>
        <v>Yes</v>
      </c>
      <c r="H222" s="185" t="str">
        <f>VLOOKUP($A222,'Institution Evaluation'!$A$56:$K$345,8,0)&amp;""</f>
        <v/>
      </c>
      <c r="I222" s="45" t="str">
        <f>VLOOKUP($A222,'Institution Evaluation'!$A$56:$K$345,9,0)&amp;""</f>
        <v>Standard Importance</v>
      </c>
      <c r="J222" s="186" t="str">
        <f>VLOOKUP($A222,'Institution Evaluation'!$A$56:$K$345,10,0)&amp;""</f>
        <v/>
      </c>
      <c r="K222" s="48" t="str">
        <f>IF(VLOOKUP($A222,'Institution Evaluation'!$A$56:$K$345,10,0)=TRUE,'Auto Responses'!$J$3,"")</f>
        <v/>
      </c>
    </row>
    <row r="223" spans="1:11" ht="81" x14ac:dyDescent="0.3">
      <c r="A223" s="19" t="s">
        <v>602</v>
      </c>
      <c r="B223" s="18" t="str">
        <f>VLOOKUP($A223,Questions!$A$2:$X$333,2,0)</f>
        <v>Has your organization designated HIPAA Privacy and Security officers as required by the rules?</v>
      </c>
      <c r="C223" s="45" t="str">
        <f>VLOOKUP($A223,'Institution Evaluation'!$A$56:$K$345,3,0)&amp;""</f>
        <v/>
      </c>
      <c r="D223" s="45" t="str">
        <f>VLOOKUP($A223,'Institution Evaluation'!$A$56:$K$345,4,0)&amp;""</f>
        <v>This question does not apply.</v>
      </c>
      <c r="E223" s="330" t="str">
        <f>VLOOKUP($A223,'Institution Evaluation'!$A$56:$K$345,5,0)&amp;""</f>
        <v>Based on the response to REQU-05 on the "START HERE" tab, this question does not apply to this product or service.</v>
      </c>
      <c r="F223" s="188" t="str">
        <f>VLOOKUP($A223,'Institution Evaluation'!$A$56:$K$345,6,0)&amp;""</f>
        <v/>
      </c>
      <c r="G223" s="30" t="str">
        <f>VLOOKUP($A223,'Institution Evaluation'!$A$56:$K$345,7,0)&amp;""</f>
        <v>Yes</v>
      </c>
      <c r="H223" s="185" t="str">
        <f>VLOOKUP($A223,'Institution Evaluation'!$A$56:$K$345,8,0)&amp;""</f>
        <v/>
      </c>
      <c r="I223" s="45" t="str">
        <f>VLOOKUP($A223,'Institution Evaluation'!$A$56:$K$345,9,0)&amp;""</f>
        <v>Standard Importance</v>
      </c>
      <c r="J223" s="186" t="str">
        <f>VLOOKUP($A223,'Institution Evaluation'!$A$56:$K$345,10,0)&amp;""</f>
        <v/>
      </c>
      <c r="K223" s="48" t="str">
        <f>IF(VLOOKUP($A223,'Institution Evaluation'!$A$56:$K$345,10,0)=TRUE,'Auto Responses'!$J$3,"")</f>
        <v/>
      </c>
    </row>
    <row r="224" spans="1:11" ht="81" x14ac:dyDescent="0.3">
      <c r="A224" s="19" t="s">
        <v>603</v>
      </c>
      <c r="B224" s="18" t="str">
        <f>VLOOKUP($A224,Questions!$A$2:$X$333,2,0)</f>
        <v>Do you comply with the requirements of the Health Information Technology for Economic and Clinical Health Act (HITECH)?</v>
      </c>
      <c r="C224" s="45" t="str">
        <f>VLOOKUP($A224,'Institution Evaluation'!$A$56:$K$345,3,0)&amp;""</f>
        <v/>
      </c>
      <c r="D224" s="45" t="str">
        <f>VLOOKUP($A224,'Institution Evaluation'!$A$56:$K$345,4,0)&amp;""</f>
        <v>This question does not apply.</v>
      </c>
      <c r="E224" s="330" t="str">
        <f>VLOOKUP($A224,'Institution Evaluation'!$A$56:$K$345,5,0)&amp;""</f>
        <v>Based on the response to REQU-05 on the "START HERE" tab, this question does not apply to this product or service.</v>
      </c>
      <c r="F224" s="188" t="str">
        <f>VLOOKUP($A224,'Institution Evaluation'!$A$56:$K$345,6,0)&amp;""</f>
        <v/>
      </c>
      <c r="G224" s="30" t="str">
        <f>VLOOKUP($A224,'Institution Evaluation'!$A$56:$K$345,7,0)&amp;""</f>
        <v>Yes</v>
      </c>
      <c r="H224" s="185" t="str">
        <f>VLOOKUP($A224,'Institution Evaluation'!$A$56:$K$345,8,0)&amp;""</f>
        <v/>
      </c>
      <c r="I224" s="45" t="str">
        <f>VLOOKUP($A224,'Institution Evaluation'!$A$56:$K$345,9,0)&amp;""</f>
        <v>Standard Importance</v>
      </c>
      <c r="J224" s="186" t="str">
        <f>VLOOKUP($A224,'Institution Evaluation'!$A$56:$K$345,10,0)&amp;""</f>
        <v/>
      </c>
      <c r="K224" s="48" t="str">
        <f>IF(VLOOKUP($A224,'Institution Evaluation'!$A$56:$K$345,10,0)=TRUE,'Auto Responses'!$J$3,"")</f>
        <v/>
      </c>
    </row>
    <row r="225" spans="1:11" ht="81" x14ac:dyDescent="0.3">
      <c r="A225" s="19" t="s">
        <v>605</v>
      </c>
      <c r="B225" s="18" t="str">
        <f>VLOOKUP($A225,Questions!$A$2:$X$333,2,0)</f>
        <v>Have you conducted a risk analysis as required under the HIPAA Security Rule?</v>
      </c>
      <c r="C225" s="45" t="str">
        <f>VLOOKUP($A225,'Institution Evaluation'!$A$56:$K$345,3,0)&amp;""</f>
        <v/>
      </c>
      <c r="D225" s="45" t="str">
        <f>VLOOKUP($A225,'Institution Evaluation'!$A$56:$K$345,4,0)&amp;""</f>
        <v>This question does not apply.</v>
      </c>
      <c r="E225" s="330" t="str">
        <f>VLOOKUP($A225,'Institution Evaluation'!$A$56:$K$345,5,0)&amp;""</f>
        <v>Based on the response to REQU-05 on the "START HERE" tab, this question does not apply to this product or service.</v>
      </c>
      <c r="F225" s="188" t="str">
        <f>VLOOKUP($A225,'Institution Evaluation'!$A$56:$K$345,6,0)&amp;""</f>
        <v/>
      </c>
      <c r="G225" s="30" t="str">
        <f>VLOOKUP($A225,'Institution Evaluation'!$A$56:$K$345,7,0)&amp;""</f>
        <v>Yes</v>
      </c>
      <c r="H225" s="185" t="str">
        <f>VLOOKUP($A225,'Institution Evaluation'!$A$56:$K$345,8,0)&amp;""</f>
        <v/>
      </c>
      <c r="I225" s="45" t="str">
        <f>VLOOKUP($A225,'Institution Evaluation'!$A$56:$K$345,9,0)&amp;""</f>
        <v>Standard Importance</v>
      </c>
      <c r="J225" s="186" t="str">
        <f>VLOOKUP($A225,'Institution Evaluation'!$A$56:$K$345,10,0)&amp;""</f>
        <v/>
      </c>
      <c r="K225" s="48" t="str">
        <f>IF(VLOOKUP($A225,'Institution Evaluation'!$A$56:$K$345,10,0)=TRUE,'Auto Responses'!$J$3,"")</f>
        <v/>
      </c>
    </row>
    <row r="226" spans="1:11" ht="81" x14ac:dyDescent="0.3">
      <c r="A226" s="19" t="s">
        <v>607</v>
      </c>
      <c r="B226" s="18" t="str">
        <f>VLOOKUP($A226,Questions!$A$2:$X$333,2,0)</f>
        <v>Have you taken actions to mitigate the identified risks?</v>
      </c>
      <c r="C226" s="45" t="str">
        <f>VLOOKUP($A226,'Institution Evaluation'!$A$56:$K$345,3,0)&amp;""</f>
        <v/>
      </c>
      <c r="D226" s="45" t="str">
        <f>VLOOKUP($A226,'Institution Evaluation'!$A$56:$K$345,4,0)&amp;""</f>
        <v>This question does not apply.</v>
      </c>
      <c r="E226" s="330" t="str">
        <f>VLOOKUP($A226,'Institution Evaluation'!$A$56:$K$345,5,0)&amp;""</f>
        <v>Based on the response to REQU-05 on the "START HERE" tab, this question does not apply to this product or service.</v>
      </c>
      <c r="F226" s="188" t="str">
        <f>VLOOKUP($A226,'Institution Evaluation'!$A$56:$K$345,6,0)&amp;""</f>
        <v/>
      </c>
      <c r="G226" s="30" t="str">
        <f>VLOOKUP($A226,'Institution Evaluation'!$A$56:$K$345,7,0)&amp;""</f>
        <v>Yes</v>
      </c>
      <c r="H226" s="185" t="str">
        <f>VLOOKUP($A226,'Institution Evaluation'!$A$56:$K$345,8,0)&amp;""</f>
        <v/>
      </c>
      <c r="I226" s="45" t="str">
        <f>VLOOKUP($A226,'Institution Evaluation'!$A$56:$K$345,9,0)&amp;""</f>
        <v>Standard Importance</v>
      </c>
      <c r="J226" s="186" t="str">
        <f>VLOOKUP($A226,'Institution Evaluation'!$A$56:$K$345,10,0)&amp;""</f>
        <v/>
      </c>
      <c r="K226" s="48" t="str">
        <f>IF(VLOOKUP($A226,'Institution Evaluation'!$A$56:$K$345,10,0)=TRUE,'Auto Responses'!$J$3,"")</f>
        <v/>
      </c>
    </row>
    <row r="227" spans="1:11" ht="81" x14ac:dyDescent="0.3">
      <c r="A227" s="19" t="s">
        <v>609</v>
      </c>
      <c r="B227" s="18" t="str">
        <f>VLOOKUP($A227,Questions!$A$2:$X$333,2,0)</f>
        <v>Does your application require user and system administrator password changes at a frequency no greater than 90 days?</v>
      </c>
      <c r="C227" s="45" t="str">
        <f>VLOOKUP($A227,'Institution Evaluation'!$A$56:$K$345,3,0)&amp;""</f>
        <v/>
      </c>
      <c r="D227" s="45" t="str">
        <f>VLOOKUP($A227,'Institution Evaluation'!$A$56:$K$345,4,0)&amp;""</f>
        <v>This question does not apply.</v>
      </c>
      <c r="E227" s="330" t="str">
        <f>VLOOKUP($A227,'Institution Evaluation'!$A$56:$K$345,5,0)&amp;""</f>
        <v>Based on the response to REQU-05 on the "START HERE" tab, this question does not apply to this product or service.</v>
      </c>
      <c r="F227" s="188" t="str">
        <f>VLOOKUP($A227,'Institution Evaluation'!$A$56:$K$345,6,0)&amp;""</f>
        <v/>
      </c>
      <c r="G227" s="30" t="str">
        <f>VLOOKUP($A227,'Institution Evaluation'!$A$56:$K$345,7,0)&amp;""</f>
        <v>Yes</v>
      </c>
      <c r="H227" s="185" t="str">
        <f>VLOOKUP($A227,'Institution Evaluation'!$A$56:$K$345,8,0)&amp;""</f>
        <v/>
      </c>
      <c r="I227" s="45" t="str">
        <f>VLOOKUP($A227,'Institution Evaluation'!$A$56:$K$345,9,0)&amp;""</f>
        <v>Standard Importance</v>
      </c>
      <c r="J227" s="186" t="str">
        <f>VLOOKUP($A227,'Institution Evaluation'!$A$56:$K$345,10,0)&amp;""</f>
        <v/>
      </c>
      <c r="K227" s="48" t="str">
        <f>IF(VLOOKUP($A227,'Institution Evaluation'!$A$56:$K$345,10,0)=TRUE,'Auto Responses'!$J$3,"")</f>
        <v/>
      </c>
    </row>
    <row r="228" spans="1:11" ht="81" x14ac:dyDescent="0.3">
      <c r="A228" s="19" t="s">
        <v>611</v>
      </c>
      <c r="B228" s="18" t="str">
        <f>VLOOKUP($A228,Questions!$A$2:$X$333,2,0)</f>
        <v>Does your application require users to set their own password after an administrator reset or on first use of the account?</v>
      </c>
      <c r="C228" s="45" t="str">
        <f>VLOOKUP($A228,'Institution Evaluation'!$A$56:$K$345,3,0)&amp;""</f>
        <v/>
      </c>
      <c r="D228" s="45" t="str">
        <f>VLOOKUP($A228,'Institution Evaluation'!$A$56:$K$345,4,0)&amp;""</f>
        <v>This question does not apply.</v>
      </c>
      <c r="E228" s="330" t="str">
        <f>VLOOKUP($A228,'Institution Evaluation'!$A$56:$K$345,5,0)&amp;""</f>
        <v>Based on the response to REQU-05 on the "START HERE" tab, this question does not apply to this product or service.</v>
      </c>
      <c r="F228" s="188" t="str">
        <f>VLOOKUP($A228,'Institution Evaluation'!$A$56:$K$345,6,0)&amp;""</f>
        <v/>
      </c>
      <c r="G228" s="30" t="str">
        <f>VLOOKUP($A228,'Institution Evaluation'!$A$56:$K$345,7,0)&amp;""</f>
        <v>Yes</v>
      </c>
      <c r="H228" s="185" t="str">
        <f>VLOOKUP($A228,'Institution Evaluation'!$A$56:$K$345,8,0)&amp;""</f>
        <v/>
      </c>
      <c r="I228" s="45" t="str">
        <f>VLOOKUP($A228,'Institution Evaluation'!$A$56:$K$345,9,0)&amp;""</f>
        <v>Standard Importance</v>
      </c>
      <c r="J228" s="186" t="str">
        <f>VLOOKUP($A228,'Institution Evaluation'!$A$56:$K$345,10,0)&amp;""</f>
        <v/>
      </c>
      <c r="K228" s="48" t="str">
        <f>IF(VLOOKUP($A228,'Institution Evaluation'!$A$56:$K$345,10,0)=TRUE,'Auto Responses'!$J$3,"")</f>
        <v/>
      </c>
    </row>
    <row r="229" spans="1:11" ht="81" x14ac:dyDescent="0.3">
      <c r="A229" s="19" t="s">
        <v>613</v>
      </c>
      <c r="B229" s="18" t="str">
        <f>VLOOKUP($A229,Questions!$A$2:$X$333,2,0)</f>
        <v>Does your application lock out an account after a number of failed login attempts?</v>
      </c>
      <c r="C229" s="45" t="str">
        <f>VLOOKUP($A229,'Institution Evaluation'!$A$56:$K$345,3,0)&amp;""</f>
        <v/>
      </c>
      <c r="D229" s="45" t="str">
        <f>VLOOKUP($A229,'Institution Evaluation'!$A$56:$K$345,4,0)&amp;""</f>
        <v>This question does not apply.</v>
      </c>
      <c r="E229" s="330" t="str">
        <f>VLOOKUP($A229,'Institution Evaluation'!$A$56:$K$345,5,0)&amp;""</f>
        <v>Based on the response to REQU-05 on the "START HERE" tab, this question does not apply to this product or service.</v>
      </c>
      <c r="F229" s="188" t="str">
        <f>VLOOKUP($A229,'Institution Evaluation'!$A$56:$K$345,6,0)&amp;""</f>
        <v/>
      </c>
      <c r="G229" s="30" t="str">
        <f>VLOOKUP($A229,'Institution Evaluation'!$A$56:$K$345,7,0)&amp;""</f>
        <v>Yes</v>
      </c>
      <c r="H229" s="185" t="str">
        <f>VLOOKUP($A229,'Institution Evaluation'!$A$56:$K$345,8,0)&amp;""</f>
        <v/>
      </c>
      <c r="I229" s="45" t="str">
        <f>VLOOKUP($A229,'Institution Evaluation'!$A$56:$K$345,9,0)&amp;""</f>
        <v>Standard Importance</v>
      </c>
      <c r="J229" s="186" t="str">
        <f>VLOOKUP($A229,'Institution Evaluation'!$A$56:$K$345,10,0)&amp;""</f>
        <v/>
      </c>
      <c r="K229" s="48" t="str">
        <f>IF(VLOOKUP($A229,'Institution Evaluation'!$A$56:$K$345,10,0)=TRUE,'Auto Responses'!$J$3,"")</f>
        <v/>
      </c>
    </row>
    <row r="230" spans="1:11" ht="81" x14ac:dyDescent="0.3">
      <c r="A230" s="19" t="s">
        <v>615</v>
      </c>
      <c r="B230" s="18" t="str">
        <f>VLOOKUP($A230,Questions!$A$2:$X$333,2,0)</f>
        <v>Does your application automatically lock or log-out an account after a period of inactivity?</v>
      </c>
      <c r="C230" s="45" t="str">
        <f>VLOOKUP($A230,'Institution Evaluation'!$A$56:$K$345,3,0)&amp;""</f>
        <v/>
      </c>
      <c r="D230" s="45" t="str">
        <f>VLOOKUP($A230,'Institution Evaluation'!$A$56:$K$345,4,0)&amp;""</f>
        <v>This question does not apply.</v>
      </c>
      <c r="E230" s="330" t="str">
        <f>VLOOKUP($A230,'Institution Evaluation'!$A$56:$K$345,5,0)&amp;""</f>
        <v>Based on the response to REQU-05 on the "START HERE" tab, this question does not apply to this product or service.</v>
      </c>
      <c r="F230" s="188" t="str">
        <f>VLOOKUP($A230,'Institution Evaluation'!$A$56:$K$345,6,0)&amp;""</f>
        <v/>
      </c>
      <c r="G230" s="30" t="str">
        <f>VLOOKUP($A230,'Institution Evaluation'!$A$56:$K$345,7,0)&amp;""</f>
        <v>Yes</v>
      </c>
      <c r="H230" s="185" t="str">
        <f>VLOOKUP($A230,'Institution Evaluation'!$A$56:$K$345,8,0)&amp;""</f>
        <v/>
      </c>
      <c r="I230" s="45" t="str">
        <f>VLOOKUP($A230,'Institution Evaluation'!$A$56:$K$345,9,0)&amp;""</f>
        <v>Standard Importance</v>
      </c>
      <c r="J230" s="186" t="str">
        <f>VLOOKUP($A230,'Institution Evaluation'!$A$56:$K$345,10,0)&amp;""</f>
        <v/>
      </c>
      <c r="K230" s="48" t="str">
        <f>IF(VLOOKUP($A230,'Institution Evaluation'!$A$56:$K$345,10,0)=TRUE,'Auto Responses'!$J$3,"")</f>
        <v/>
      </c>
    </row>
    <row r="231" spans="1:11" ht="81" x14ac:dyDescent="0.3">
      <c r="A231" s="19" t="s">
        <v>617</v>
      </c>
      <c r="B231" s="18" t="str">
        <f>VLOOKUP($A231,Questions!$A$2:$X$333,2,0)</f>
        <v>Are passwords visible in plain text, whether when stored or entered, including service level accounts (i.e., database accounts, etc.)?</v>
      </c>
      <c r="C231" s="45" t="str">
        <f>VLOOKUP($A231,'Institution Evaluation'!$A$56:$K$345,3,0)&amp;""</f>
        <v/>
      </c>
      <c r="D231" s="45" t="str">
        <f>VLOOKUP($A231,'Institution Evaluation'!$A$56:$K$345,4,0)&amp;""</f>
        <v>This question does not apply.</v>
      </c>
      <c r="E231" s="330" t="str">
        <f>VLOOKUP($A231,'Institution Evaluation'!$A$56:$K$345,5,0)&amp;""</f>
        <v>Based on the response to REQU-05 on the "START HERE" tab, this question does not apply to this product or service.</v>
      </c>
      <c r="F231" s="188" t="str">
        <f>VLOOKUP($A231,'Institution Evaluation'!$A$56:$K$345,6,0)&amp;""</f>
        <v/>
      </c>
      <c r="G231" s="30" t="str">
        <f>VLOOKUP($A231,'Institution Evaluation'!$A$56:$K$345,7,0)&amp;""</f>
        <v>No</v>
      </c>
      <c r="H231" s="185" t="str">
        <f>VLOOKUP($A231,'Institution Evaluation'!$A$56:$K$345,8,0)&amp;""</f>
        <v/>
      </c>
      <c r="I231" s="45" t="str">
        <f>VLOOKUP($A231,'Institution Evaluation'!$A$56:$K$345,9,0)&amp;""</f>
        <v>Standard Importance</v>
      </c>
      <c r="J231" s="186" t="str">
        <f>VLOOKUP($A231,'Institution Evaluation'!$A$56:$K$345,10,0)&amp;""</f>
        <v/>
      </c>
      <c r="K231" s="48" t="str">
        <f>IF(VLOOKUP($A231,'Institution Evaluation'!$A$56:$K$345,10,0)=TRUE,'Auto Responses'!$J$3,"")</f>
        <v/>
      </c>
    </row>
    <row r="232" spans="1:11" ht="81" x14ac:dyDescent="0.3">
      <c r="A232" s="19" t="s">
        <v>619</v>
      </c>
      <c r="B232" s="18" t="str">
        <f>VLOOKUP($A232,Questions!$A$2:$X$333,2,0)</f>
        <v>If the application is institution-hosted, can all service level and administrative account passwords be changed by the institution?</v>
      </c>
      <c r="C232" s="45" t="str">
        <f>VLOOKUP($A232,'Institution Evaluation'!$A$56:$K$345,3,0)&amp;""</f>
        <v/>
      </c>
      <c r="D232" s="45" t="str">
        <f>VLOOKUP($A232,'Institution Evaluation'!$A$56:$K$345,4,0)&amp;""</f>
        <v>This question does not apply.</v>
      </c>
      <c r="E232" s="330" t="str">
        <f>VLOOKUP($A232,'Institution Evaluation'!$A$56:$K$345,5,0)&amp;""</f>
        <v>Based on the response to REQU-05 on the "START HERE" tab, this question does not apply to this product or service.</v>
      </c>
      <c r="F232" s="188" t="str">
        <f>VLOOKUP($A232,'Institution Evaluation'!$A$56:$K$345,6,0)&amp;""</f>
        <v/>
      </c>
      <c r="G232" s="30" t="str">
        <f>VLOOKUP($A232,'Institution Evaluation'!$A$56:$K$345,7,0)&amp;""</f>
        <v>Yes</v>
      </c>
      <c r="H232" s="185" t="str">
        <f>VLOOKUP($A232,'Institution Evaluation'!$A$56:$K$345,8,0)&amp;""</f>
        <v/>
      </c>
      <c r="I232" s="45" t="str">
        <f>VLOOKUP($A232,'Institution Evaluation'!$A$56:$K$345,9,0)&amp;""</f>
        <v>Standard Importance</v>
      </c>
      <c r="J232" s="186" t="str">
        <f>VLOOKUP($A232,'Institution Evaluation'!$A$56:$K$345,10,0)&amp;""</f>
        <v/>
      </c>
      <c r="K232" s="48" t="str">
        <f>IF(VLOOKUP($A232,'Institution Evaluation'!$A$56:$K$345,10,0)=TRUE,'Auto Responses'!$J$3,"")</f>
        <v/>
      </c>
    </row>
    <row r="233" spans="1:11" ht="81" x14ac:dyDescent="0.3">
      <c r="A233" s="19" t="s">
        <v>621</v>
      </c>
      <c r="B233" s="18" t="str">
        <f>VLOOKUP($A233,Questions!$A$2:$X$333,2,0)</f>
        <v>Does your application provide the ability to define user access levels?</v>
      </c>
      <c r="C233" s="45" t="str">
        <f>VLOOKUP($A233,'Institution Evaluation'!$A$56:$K$345,3,0)&amp;""</f>
        <v/>
      </c>
      <c r="D233" s="45" t="str">
        <f>VLOOKUP($A233,'Institution Evaluation'!$A$56:$K$345,4,0)&amp;""</f>
        <v>This question does not apply.</v>
      </c>
      <c r="E233" s="330" t="str">
        <f>VLOOKUP($A233,'Institution Evaluation'!$A$56:$K$345,5,0)&amp;""</f>
        <v>Based on the response to REQU-05 on the "START HERE" tab, this question does not apply to this product or service.</v>
      </c>
      <c r="F233" s="188" t="str">
        <f>VLOOKUP($A233,'Institution Evaluation'!$A$56:$K$345,6,0)&amp;""</f>
        <v/>
      </c>
      <c r="G233" s="30" t="str">
        <f>VLOOKUP($A233,'Institution Evaluation'!$A$56:$K$345,7,0)&amp;""</f>
        <v>Yes</v>
      </c>
      <c r="H233" s="185" t="str">
        <f>VLOOKUP($A233,'Institution Evaluation'!$A$56:$K$345,8,0)&amp;""</f>
        <v/>
      </c>
      <c r="I233" s="45" t="str">
        <f>VLOOKUP($A233,'Institution Evaluation'!$A$56:$K$345,9,0)&amp;""</f>
        <v>Standard Importance</v>
      </c>
      <c r="J233" s="186" t="str">
        <f>VLOOKUP($A233,'Institution Evaluation'!$A$56:$K$345,10,0)&amp;""</f>
        <v/>
      </c>
      <c r="K233" s="48" t="str">
        <f>IF(VLOOKUP($A233,'Institution Evaluation'!$A$56:$K$345,10,0)=TRUE,'Auto Responses'!$J$3,"")</f>
        <v/>
      </c>
    </row>
    <row r="234" spans="1:11" ht="81" x14ac:dyDescent="0.3">
      <c r="A234" s="19" t="s">
        <v>623</v>
      </c>
      <c r="B234" s="18" t="str">
        <f>VLOOKUP($A234,Questions!$A$2:$X$333,2,0)</f>
        <v>Does your application support varying levels of access to administrative tasks defined individually per user?</v>
      </c>
      <c r="C234" s="45" t="str">
        <f>VLOOKUP($A234,'Institution Evaluation'!$A$56:$K$345,3,0)&amp;""</f>
        <v/>
      </c>
      <c r="D234" s="45" t="str">
        <f>VLOOKUP($A234,'Institution Evaluation'!$A$56:$K$345,4,0)&amp;""</f>
        <v>This question does not apply.</v>
      </c>
      <c r="E234" s="330" t="str">
        <f>VLOOKUP($A234,'Institution Evaluation'!$A$56:$K$345,5,0)&amp;""</f>
        <v>Based on the response to REQU-05 on the "START HERE" tab, this question does not apply to this product or service.</v>
      </c>
      <c r="F234" s="188" t="str">
        <f>VLOOKUP($A234,'Institution Evaluation'!$A$56:$K$345,6,0)&amp;""</f>
        <v/>
      </c>
      <c r="G234" s="30" t="str">
        <f>VLOOKUP($A234,'Institution Evaluation'!$A$56:$K$345,7,0)&amp;""</f>
        <v>Yes</v>
      </c>
      <c r="H234" s="185" t="str">
        <f>VLOOKUP($A234,'Institution Evaluation'!$A$56:$K$345,8,0)&amp;""</f>
        <v/>
      </c>
      <c r="I234" s="45" t="str">
        <f>VLOOKUP($A234,'Institution Evaluation'!$A$56:$K$345,9,0)&amp;""</f>
        <v>Standard Importance</v>
      </c>
      <c r="J234" s="186" t="str">
        <f>VLOOKUP($A234,'Institution Evaluation'!$A$56:$K$345,10,0)&amp;""</f>
        <v/>
      </c>
      <c r="K234" s="48" t="str">
        <f>IF(VLOOKUP($A234,'Institution Evaluation'!$A$56:$K$345,10,0)=TRUE,'Auto Responses'!$J$3,"")</f>
        <v/>
      </c>
    </row>
    <row r="235" spans="1:11" ht="81" x14ac:dyDescent="0.3">
      <c r="A235" s="19" t="s">
        <v>625</v>
      </c>
      <c r="B235" s="18" t="str">
        <f>VLOOKUP($A235,Questions!$A$2:$X$333,2,0)</f>
        <v>Does your application support varying levels of access to records based on user ID?</v>
      </c>
      <c r="C235" s="45" t="str">
        <f>VLOOKUP($A235,'Institution Evaluation'!$A$56:$K$345,3,0)&amp;""</f>
        <v/>
      </c>
      <c r="D235" s="45" t="str">
        <f>VLOOKUP($A235,'Institution Evaluation'!$A$56:$K$345,4,0)&amp;""</f>
        <v>This question does not apply.</v>
      </c>
      <c r="E235" s="330" t="str">
        <f>VLOOKUP($A235,'Institution Evaluation'!$A$56:$K$345,5,0)&amp;""</f>
        <v>Based on the response to REQU-05 on the "START HERE" tab, this question does not apply to this product or service.</v>
      </c>
      <c r="F235" s="188" t="str">
        <f>VLOOKUP($A235,'Institution Evaluation'!$A$56:$K$345,6,0)&amp;""</f>
        <v/>
      </c>
      <c r="G235" s="30" t="str">
        <f>VLOOKUP($A235,'Institution Evaluation'!$A$56:$K$345,7,0)&amp;""</f>
        <v>No</v>
      </c>
      <c r="H235" s="185" t="str">
        <f>VLOOKUP($A235,'Institution Evaluation'!$A$56:$K$345,8,0)&amp;""</f>
        <v/>
      </c>
      <c r="I235" s="45" t="str">
        <f>VLOOKUP($A235,'Institution Evaluation'!$A$56:$K$345,9,0)&amp;""</f>
        <v>Standard Importance</v>
      </c>
      <c r="J235" s="186" t="str">
        <f>VLOOKUP($A235,'Institution Evaluation'!$A$56:$K$345,10,0)&amp;""</f>
        <v/>
      </c>
      <c r="K235" s="48" t="str">
        <f>IF(VLOOKUP($A235,'Institution Evaluation'!$A$56:$K$345,10,0)=TRUE,'Auto Responses'!$J$3,"")</f>
        <v/>
      </c>
    </row>
    <row r="236" spans="1:11" ht="81" x14ac:dyDescent="0.3">
      <c r="A236" s="19" t="s">
        <v>626</v>
      </c>
      <c r="B236" s="18" t="str">
        <f>VLOOKUP($A236,Questions!$A$2:$X$333,2,0)</f>
        <v>Is there a limit to the number of groups to which a user can be assigned?</v>
      </c>
      <c r="C236" s="45" t="str">
        <f>VLOOKUP($A236,'Institution Evaluation'!$A$56:$K$345,3,0)&amp;""</f>
        <v/>
      </c>
      <c r="D236" s="45" t="str">
        <f>VLOOKUP($A236,'Institution Evaluation'!$A$56:$K$345,4,0)&amp;""</f>
        <v>This question does not apply.</v>
      </c>
      <c r="E236" s="330" t="str">
        <f>VLOOKUP($A236,'Institution Evaluation'!$A$56:$K$345,5,0)&amp;""</f>
        <v>Based on the response to REQU-05 on the "START HERE" tab, this question does not apply to this product or service.</v>
      </c>
      <c r="F236" s="188" t="str">
        <f>VLOOKUP($A236,'Institution Evaluation'!$A$56:$K$345,6,0)&amp;""</f>
        <v/>
      </c>
      <c r="G236" s="30" t="str">
        <f>VLOOKUP($A236,'Institution Evaluation'!$A$56:$K$345,7,0)&amp;""</f>
        <v>Yes</v>
      </c>
      <c r="H236" s="185" t="str">
        <f>VLOOKUP($A236,'Institution Evaluation'!$A$56:$K$345,8,0)&amp;""</f>
        <v/>
      </c>
      <c r="I236" s="45" t="str">
        <f>VLOOKUP($A236,'Institution Evaluation'!$A$56:$K$345,9,0)&amp;""</f>
        <v>Standard Importance</v>
      </c>
      <c r="J236" s="186" t="str">
        <f>VLOOKUP($A236,'Institution Evaluation'!$A$56:$K$345,10,0)&amp;""</f>
        <v/>
      </c>
      <c r="K236" s="48" t="str">
        <f>IF(VLOOKUP($A236,'Institution Evaluation'!$A$56:$K$345,10,0)=TRUE,'Auto Responses'!$J$3,"")</f>
        <v/>
      </c>
    </row>
    <row r="237" spans="1:11" ht="81" x14ac:dyDescent="0.3">
      <c r="A237" s="19" t="s">
        <v>628</v>
      </c>
      <c r="B237" s="18" t="str">
        <f>VLOOKUP($A237,Questions!$A$2:$X$333,2,0)</f>
        <v>Do accounts used for solution provider-supplied remote support abide by the same authentication policies and access logging as the rest of the system?</v>
      </c>
      <c r="C237" s="45" t="str">
        <f>VLOOKUP($A237,'Institution Evaluation'!$A$56:$K$345,3,0)&amp;""</f>
        <v/>
      </c>
      <c r="D237" s="45" t="str">
        <f>VLOOKUP($A237,'Institution Evaluation'!$A$56:$K$345,4,0)&amp;""</f>
        <v>This question does not apply.</v>
      </c>
      <c r="E237" s="330" t="str">
        <f>VLOOKUP($A237,'Institution Evaluation'!$A$56:$K$345,5,0)&amp;""</f>
        <v>Based on the response to REQU-05 on the "START HERE" tab, this question does not apply to this product or service.</v>
      </c>
      <c r="F237" s="188" t="str">
        <f>VLOOKUP($A237,'Institution Evaluation'!$A$56:$K$345,6,0)&amp;""</f>
        <v/>
      </c>
      <c r="G237" s="30" t="str">
        <f>VLOOKUP($A237,'Institution Evaluation'!$A$56:$K$345,7,0)&amp;""</f>
        <v>Yes</v>
      </c>
      <c r="H237" s="185" t="str">
        <f>VLOOKUP($A237,'Institution Evaluation'!$A$56:$K$345,8,0)&amp;""</f>
        <v/>
      </c>
      <c r="I237" s="45" t="str">
        <f>VLOOKUP($A237,'Institution Evaluation'!$A$56:$K$345,9,0)&amp;""</f>
        <v>Standard Importance</v>
      </c>
      <c r="J237" s="186" t="str">
        <f>VLOOKUP($A237,'Institution Evaluation'!$A$56:$K$345,10,0)&amp;""</f>
        <v/>
      </c>
      <c r="K237" s="48" t="str">
        <f>IF(VLOOKUP($A237,'Institution Evaluation'!$A$56:$K$345,10,0)=TRUE,'Auto Responses'!$J$3,"")</f>
        <v/>
      </c>
    </row>
    <row r="238" spans="1:11" ht="81" x14ac:dyDescent="0.3">
      <c r="A238" s="19" t="s">
        <v>629</v>
      </c>
      <c r="B238" s="18" t="str">
        <f>VLOOKUP($A238,Questions!$A$2:$X$333,2,0)</f>
        <v>Does the application log record access including specific user, date/time of access, and originating IP or device?</v>
      </c>
      <c r="C238" s="45" t="str">
        <f>VLOOKUP($A238,'Institution Evaluation'!$A$56:$K$345,3,0)&amp;""</f>
        <v/>
      </c>
      <c r="D238" s="45" t="str">
        <f>VLOOKUP($A238,'Institution Evaluation'!$A$56:$K$345,4,0)&amp;""</f>
        <v>This question does not apply.</v>
      </c>
      <c r="E238" s="330" t="str">
        <f>VLOOKUP($A238,'Institution Evaluation'!$A$56:$K$345,5,0)&amp;""</f>
        <v>Based on the response to REQU-05 on the "START HERE" tab, this question does not apply to this product or service.</v>
      </c>
      <c r="F238" s="188" t="str">
        <f>VLOOKUP($A238,'Institution Evaluation'!$A$56:$K$345,6,0)&amp;""</f>
        <v/>
      </c>
      <c r="G238" s="30" t="str">
        <f>VLOOKUP($A238,'Institution Evaluation'!$A$56:$K$345,7,0)&amp;""</f>
        <v>Yes</v>
      </c>
      <c r="H238" s="185" t="str">
        <f>VLOOKUP($A238,'Institution Evaluation'!$A$56:$K$345,8,0)&amp;""</f>
        <v/>
      </c>
      <c r="I238" s="45" t="str">
        <f>VLOOKUP($A238,'Institution Evaluation'!$A$56:$K$345,9,0)&amp;""</f>
        <v>Standard Importance</v>
      </c>
      <c r="J238" s="186" t="str">
        <f>VLOOKUP($A238,'Institution Evaluation'!$A$56:$K$345,10,0)&amp;""</f>
        <v/>
      </c>
      <c r="K238" s="48" t="str">
        <f>IF(VLOOKUP($A238,'Institution Evaluation'!$A$56:$K$345,10,0)=TRUE,'Auto Responses'!$J$3,"")</f>
        <v/>
      </c>
    </row>
    <row r="239" spans="1:11" ht="81" x14ac:dyDescent="0.3">
      <c r="A239" s="19" t="s">
        <v>630</v>
      </c>
      <c r="B239" s="18" t="str">
        <f>VLOOKUP($A239,Questions!$A$2:$X$333,2,0)</f>
        <v>Does the application log administrative activity, such as user account access changes and password changes, including specific user, date/time of changes, and originating IP or device?</v>
      </c>
      <c r="C239" s="45" t="str">
        <f>VLOOKUP($A239,'Institution Evaluation'!$A$56:$K$345,3,0)&amp;""</f>
        <v/>
      </c>
      <c r="D239" s="45" t="str">
        <f>VLOOKUP($A239,'Institution Evaluation'!$A$56:$K$345,4,0)&amp;""</f>
        <v>This question does not apply.</v>
      </c>
      <c r="E239" s="330" t="str">
        <f>VLOOKUP($A239,'Institution Evaluation'!$A$56:$K$345,5,0)&amp;""</f>
        <v>Based on the response to REQU-05 on the "START HERE" tab, this question does not apply to this product or service.</v>
      </c>
      <c r="F239" s="188" t="str">
        <f>VLOOKUP($A239,'Institution Evaluation'!$A$56:$K$345,6,0)&amp;""</f>
        <v/>
      </c>
      <c r="G239" s="30" t="str">
        <f>VLOOKUP($A239,'Institution Evaluation'!$A$56:$K$345,7,0)&amp;""</f>
        <v>Yes</v>
      </c>
      <c r="H239" s="185" t="str">
        <f>VLOOKUP($A239,'Institution Evaluation'!$A$56:$K$345,8,0)&amp;""</f>
        <v/>
      </c>
      <c r="I239" s="45" t="str">
        <f>VLOOKUP($A239,'Institution Evaluation'!$A$56:$K$345,9,0)&amp;""</f>
        <v>Standard Importance</v>
      </c>
      <c r="J239" s="186" t="str">
        <f>VLOOKUP($A239,'Institution Evaluation'!$A$56:$K$345,10,0)&amp;""</f>
        <v/>
      </c>
      <c r="K239" s="48" t="str">
        <f>IF(VLOOKUP($A239,'Institution Evaluation'!$A$56:$K$345,10,0)=TRUE,'Auto Responses'!$J$3,"")</f>
        <v/>
      </c>
    </row>
    <row r="240" spans="1:11" ht="81" x14ac:dyDescent="0.3">
      <c r="A240" s="19" t="s">
        <v>632</v>
      </c>
      <c r="B240" s="18" t="str">
        <f>VLOOKUP($A240,Questions!$A$2:$X$333,2,0)</f>
        <v>Do you retain logs for at least as long as required by HIPAA regulations?</v>
      </c>
      <c r="C240" s="45" t="str">
        <f>VLOOKUP($A240,'Institution Evaluation'!$A$56:$K$345,3,0)&amp;""</f>
        <v/>
      </c>
      <c r="D240" s="45" t="str">
        <f>VLOOKUP($A240,'Institution Evaluation'!$A$56:$K$345,4,0)&amp;""</f>
        <v>This question does not apply.</v>
      </c>
      <c r="E240" s="330" t="str">
        <f>VLOOKUP($A240,'Institution Evaluation'!$A$56:$K$345,5,0)&amp;""</f>
        <v>Based on the response to REQU-05 on the "START HERE" tab, this question does not apply to this product or service.</v>
      </c>
      <c r="F240" s="188" t="str">
        <f>VLOOKUP($A240,'Institution Evaluation'!$A$56:$K$345,6,0)&amp;""</f>
        <v/>
      </c>
      <c r="G240" s="30" t="str">
        <f>VLOOKUP($A240,'Institution Evaluation'!$A$56:$K$345,7,0)&amp;""</f>
        <v>Yes</v>
      </c>
      <c r="H240" s="185" t="str">
        <f>VLOOKUP($A240,'Institution Evaluation'!$A$56:$K$345,8,0)&amp;""</f>
        <v/>
      </c>
      <c r="I240" s="45" t="str">
        <f>VLOOKUP($A240,'Institution Evaluation'!$A$56:$K$345,9,0)&amp;""</f>
        <v>Standard Importance</v>
      </c>
      <c r="J240" s="186" t="str">
        <f>VLOOKUP($A240,'Institution Evaluation'!$A$56:$K$345,10,0)&amp;""</f>
        <v/>
      </c>
      <c r="K240" s="48" t="str">
        <f>IF(VLOOKUP($A240,'Institution Evaluation'!$A$56:$K$345,10,0)=TRUE,'Auto Responses'!$J$3,"")</f>
        <v/>
      </c>
    </row>
    <row r="241" spans="1:14" ht="81" x14ac:dyDescent="0.3">
      <c r="A241" s="19" t="s">
        <v>634</v>
      </c>
      <c r="B241" s="18" t="str">
        <f>VLOOKUP($A241,Questions!$A$2:$X$333,2,0)</f>
        <v>Can the application logs be archived?</v>
      </c>
      <c r="C241" s="45" t="str">
        <f>VLOOKUP($A241,'Institution Evaluation'!$A$56:$K$345,3,0)&amp;""</f>
        <v/>
      </c>
      <c r="D241" s="45" t="str">
        <f>VLOOKUP($A241,'Institution Evaluation'!$A$56:$K$345,4,0)&amp;""</f>
        <v>This question does not apply.</v>
      </c>
      <c r="E241" s="330" t="str">
        <f>VLOOKUP($A241,'Institution Evaluation'!$A$56:$K$345,5,0)&amp;""</f>
        <v>Based on the response to REQU-05 on the "START HERE" tab, this question does not apply to this product or service.</v>
      </c>
      <c r="F241" s="188" t="str">
        <f>VLOOKUP($A241,'Institution Evaluation'!$A$56:$K$345,6,0)&amp;""</f>
        <v/>
      </c>
      <c r="G241" s="30" t="str">
        <f>VLOOKUP($A241,'Institution Evaluation'!$A$56:$K$345,7,0)&amp;""</f>
        <v>Yes</v>
      </c>
      <c r="H241" s="185" t="str">
        <f>VLOOKUP($A241,'Institution Evaluation'!$A$56:$K$345,8,0)&amp;""</f>
        <v/>
      </c>
      <c r="I241" s="45" t="str">
        <f>VLOOKUP($A241,'Institution Evaluation'!$A$56:$K$345,9,0)&amp;""</f>
        <v>Standard Importance</v>
      </c>
      <c r="J241" s="186" t="str">
        <f>VLOOKUP($A241,'Institution Evaluation'!$A$56:$K$345,10,0)&amp;""</f>
        <v/>
      </c>
      <c r="K241" s="48" t="str">
        <f>IF(VLOOKUP($A241,'Institution Evaluation'!$A$56:$K$345,10,0)=TRUE,'Auto Responses'!$J$3,"")</f>
        <v/>
      </c>
    </row>
    <row r="242" spans="1:14" ht="81" x14ac:dyDescent="0.3">
      <c r="A242" s="19" t="s">
        <v>636</v>
      </c>
      <c r="B242" s="18" t="str">
        <f>VLOOKUP($A242,Questions!$A$2:$X$333,2,0)</f>
        <v>Can the application logs be saved externally?</v>
      </c>
      <c r="C242" s="45" t="str">
        <f>VLOOKUP($A242,'Institution Evaluation'!$A$56:$K$345,3,0)&amp;""</f>
        <v/>
      </c>
      <c r="D242" s="45" t="str">
        <f>VLOOKUP($A242,'Institution Evaluation'!$A$56:$K$345,4,0)&amp;""</f>
        <v>This question does not apply.</v>
      </c>
      <c r="E242" s="330" t="str">
        <f>VLOOKUP($A242,'Institution Evaluation'!$A$56:$K$345,5,0)&amp;""</f>
        <v>Based on the response to REQU-05 on the "START HERE" tab, this question does not apply to this product or service.</v>
      </c>
      <c r="F242" s="188" t="str">
        <f>VLOOKUP($A242,'Institution Evaluation'!$A$56:$K$345,6,0)&amp;""</f>
        <v/>
      </c>
      <c r="G242" s="30" t="str">
        <f>VLOOKUP($A242,'Institution Evaluation'!$A$56:$K$345,7,0)&amp;""</f>
        <v>Yes</v>
      </c>
      <c r="H242" s="185" t="str">
        <f>VLOOKUP($A242,'Institution Evaluation'!$A$56:$K$345,8,0)&amp;""</f>
        <v/>
      </c>
      <c r="I242" s="45" t="str">
        <f>VLOOKUP($A242,'Institution Evaluation'!$A$56:$K$345,9,0)&amp;""</f>
        <v>Standard Importance</v>
      </c>
      <c r="J242" s="186" t="str">
        <f>VLOOKUP($A242,'Institution Evaluation'!$A$56:$K$345,10,0)&amp;""</f>
        <v/>
      </c>
      <c r="K242" s="48" t="str">
        <f>IF(VLOOKUP($A242,'Institution Evaluation'!$A$56:$K$345,10,0)=TRUE,'Auto Responses'!$J$3,"")</f>
        <v/>
      </c>
    </row>
    <row r="243" spans="1:14" ht="81" x14ac:dyDescent="0.3">
      <c r="A243" s="19" t="s">
        <v>638</v>
      </c>
      <c r="B243" s="18" t="str">
        <f>VLOOKUP($A243,Questions!$A$2:$X$333,2,0)</f>
        <v>Do you have a disaster recovery plan and emergency mode operation plan?</v>
      </c>
      <c r="C243" s="45" t="str">
        <f>VLOOKUP($A243,'Institution Evaluation'!$A$56:$K$345,3,0)&amp;""</f>
        <v/>
      </c>
      <c r="D243" s="45" t="str">
        <f>VLOOKUP($A243,'Institution Evaluation'!$A$56:$K$345,4,0)&amp;""</f>
        <v>This question does not apply.</v>
      </c>
      <c r="E243" s="330" t="str">
        <f>VLOOKUP($A243,'Institution Evaluation'!$A$56:$K$345,5,0)&amp;""</f>
        <v>Based on the response to REQU-05 on the "START HERE" tab, this question does not apply to this product or service.</v>
      </c>
      <c r="F243" s="188" t="str">
        <f>VLOOKUP($A243,'Institution Evaluation'!$A$56:$K$345,6,0)&amp;""</f>
        <v/>
      </c>
      <c r="G243" s="30" t="str">
        <f>VLOOKUP($A243,'Institution Evaluation'!$A$56:$K$345,7,0)&amp;""</f>
        <v>Yes</v>
      </c>
      <c r="H243" s="185" t="str">
        <f>VLOOKUP($A243,'Institution Evaluation'!$A$56:$K$345,8,0)&amp;""</f>
        <v/>
      </c>
      <c r="I243" s="45" t="str">
        <f>VLOOKUP($A243,'Institution Evaluation'!$A$56:$K$345,9,0)&amp;""</f>
        <v>Standard Importance</v>
      </c>
      <c r="J243" s="186" t="str">
        <f>VLOOKUP($A243,'Institution Evaluation'!$A$56:$K$345,10,0)&amp;""</f>
        <v/>
      </c>
      <c r="K243" s="48" t="str">
        <f>IF(VLOOKUP($A243,'Institution Evaluation'!$A$56:$K$345,10,0)=TRUE,'Auto Responses'!$J$3,"")</f>
        <v/>
      </c>
    </row>
    <row r="244" spans="1:14" ht="81" x14ac:dyDescent="0.3">
      <c r="A244" s="19" t="s">
        <v>639</v>
      </c>
      <c r="B244" s="18" t="str">
        <f>VLOOKUP($A244,Questions!$A$2:$X$333,2,0)</f>
        <v>Can you provide a HIPAA compliance attestation document?</v>
      </c>
      <c r="C244" s="45" t="str">
        <f>VLOOKUP($A244,'Institution Evaluation'!$A$56:$K$345,3,0)&amp;""</f>
        <v/>
      </c>
      <c r="D244" s="45" t="str">
        <f>VLOOKUP($A244,'Institution Evaluation'!$A$56:$K$345,4,0)&amp;""</f>
        <v>This question does not apply.</v>
      </c>
      <c r="E244" s="330" t="str">
        <f>VLOOKUP($A244,'Institution Evaluation'!$A$56:$K$345,5,0)&amp;""</f>
        <v>Based on the response to REQU-05 on the "START HERE" tab, this question does not apply to this product or service.</v>
      </c>
      <c r="F244" s="188" t="str">
        <f>VLOOKUP($A244,'Institution Evaluation'!$A$56:$K$345,6,0)&amp;""</f>
        <v/>
      </c>
      <c r="G244" s="30" t="str">
        <f>VLOOKUP($A244,'Institution Evaluation'!$A$56:$K$345,7,0)&amp;""</f>
        <v>Yes</v>
      </c>
      <c r="H244" s="185" t="str">
        <f>VLOOKUP($A244,'Institution Evaluation'!$A$56:$K$345,8,0)&amp;""</f>
        <v/>
      </c>
      <c r="I244" s="45" t="str">
        <f>VLOOKUP($A244,'Institution Evaluation'!$A$56:$K$345,9,0)&amp;""</f>
        <v>Standard Importance</v>
      </c>
      <c r="J244" s="186" t="str">
        <f>VLOOKUP($A244,'Institution Evaluation'!$A$56:$K$345,10,0)&amp;""</f>
        <v/>
      </c>
      <c r="K244" s="48" t="str">
        <f>IF(VLOOKUP($A244,'Institution Evaluation'!$A$56:$K$345,10,0)=TRUE,'Auto Responses'!$J$3,"")</f>
        <v/>
      </c>
    </row>
    <row r="245" spans="1:14" ht="81" x14ac:dyDescent="0.3">
      <c r="A245" s="19" t="s">
        <v>641</v>
      </c>
      <c r="B245" s="18" t="str">
        <f>VLOOKUP($A245,Questions!$A$2:$X$333,2,0)</f>
        <v>Are you willing to enter into a Business Associate Agreement (BAA)?</v>
      </c>
      <c r="C245" s="45" t="str">
        <f>VLOOKUP($A245,'Institution Evaluation'!$A$56:$K$345,3,0)&amp;""</f>
        <v/>
      </c>
      <c r="D245" s="45" t="str">
        <f>VLOOKUP($A245,'Institution Evaluation'!$A$56:$K$345,4,0)&amp;""</f>
        <v>This question does not apply.</v>
      </c>
      <c r="E245" s="330" t="str">
        <f>VLOOKUP($A245,'Institution Evaluation'!$A$56:$K$345,5,0)&amp;""</f>
        <v>Based on the response to REQU-05 on the "START HERE" tab, this question does not apply to this product or service.</v>
      </c>
      <c r="F245" s="188" t="str">
        <f>VLOOKUP($A245,'Institution Evaluation'!$A$56:$K$345,6,0)&amp;""</f>
        <v/>
      </c>
      <c r="G245" s="30" t="str">
        <f>VLOOKUP($A245,'Institution Evaluation'!$A$56:$K$345,7,0)&amp;""</f>
        <v>Yes</v>
      </c>
      <c r="H245" s="185" t="str">
        <f>VLOOKUP($A245,'Institution Evaluation'!$A$56:$K$345,8,0)&amp;""</f>
        <v/>
      </c>
      <c r="I245" s="45" t="str">
        <f>VLOOKUP($A245,'Institution Evaluation'!$A$56:$K$345,9,0)&amp;""</f>
        <v>Standard Importance</v>
      </c>
      <c r="J245" s="186" t="str">
        <f>VLOOKUP($A245,'Institution Evaluation'!$A$56:$K$345,10,0)&amp;""</f>
        <v/>
      </c>
      <c r="K245" s="48" t="str">
        <f>IF(VLOOKUP($A245,'Institution Evaluation'!$A$56:$K$345,10,0)=TRUE,'Auto Responses'!$J$3,"")</f>
        <v/>
      </c>
    </row>
    <row r="246" spans="1:14" ht="81" x14ac:dyDescent="0.3">
      <c r="A246" s="19" t="s">
        <v>643</v>
      </c>
      <c r="B246" s="18" t="str">
        <f>VLOOKUP($A246,Questions!$A$2:$X$333,2,0)</f>
        <v>Do your data backup and retention policies and practices meet HIPAA requirements?</v>
      </c>
      <c r="C246" s="45" t="str">
        <f>VLOOKUP($A246,'Institution Evaluation'!$A$56:$K$345,3,0)&amp;""</f>
        <v/>
      </c>
      <c r="D246" s="45" t="str">
        <f>VLOOKUP($A246,'Institution Evaluation'!$A$56:$K$345,4,0)&amp;""</f>
        <v>This question does not apply.</v>
      </c>
      <c r="E246" s="330" t="str">
        <f>VLOOKUP($A246,'Institution Evaluation'!$A$56:$K$345,5,0)&amp;""</f>
        <v>Based on the response to REQU-05 on the "START HERE" tab, this question does not apply to this product or service.</v>
      </c>
      <c r="F246" s="188" t="str">
        <f>VLOOKUP($A246,'Institution Evaluation'!$A$56:$K$345,6,0)&amp;""</f>
        <v/>
      </c>
      <c r="G246" s="30" t="str">
        <f>VLOOKUP($A246,'Institution Evaluation'!$A$56:$K$345,7,0)&amp;""</f>
        <v>Yes</v>
      </c>
      <c r="H246" s="185" t="str">
        <f>VLOOKUP($A246,'Institution Evaluation'!$A$56:$K$345,8,0)&amp;""</f>
        <v/>
      </c>
      <c r="I246" s="45" t="str">
        <f>VLOOKUP($A246,'Institution Evaluation'!$A$56:$K$345,9,0)&amp;""</f>
        <v>Minor Importance</v>
      </c>
      <c r="J246" s="186" t="str">
        <f>VLOOKUP($A246,'Institution Evaluation'!$A$56:$K$345,10,0)&amp;""</f>
        <v/>
      </c>
      <c r="K246" s="48" t="str">
        <f>IF(VLOOKUP($A246,'Institution Evaluation'!$A$56:$K$345,10,0)=TRUE,'Auto Responses'!$J$3,"")</f>
        <v/>
      </c>
    </row>
    <row r="247" spans="1:14" s="1" customFormat="1" ht="17.399999999999999" x14ac:dyDescent="0.25">
      <c r="A247" s="63" t="str">
        <f>VLOOKUP(LEFT($A248,4),'Auto Responses'!$N$4:$O$38,2,0)&amp;""</f>
        <v xml:space="preserve"> Payment Card Industry Data Security Standard (PCI DSS)</v>
      </c>
      <c r="B247" s="22"/>
      <c r="C247" s="31"/>
      <c r="D247" s="31"/>
      <c r="E247" s="331"/>
      <c r="F247" s="132" t="s">
        <v>1030</v>
      </c>
      <c r="G247" s="335" t="s">
        <v>869</v>
      </c>
      <c r="H247" s="335" t="s">
        <v>871</v>
      </c>
      <c r="I247" s="335" t="s">
        <v>19</v>
      </c>
      <c r="J247" s="335" t="s">
        <v>856</v>
      </c>
      <c r="K247" s="31"/>
    </row>
    <row r="248" spans="1:14" ht="81" x14ac:dyDescent="0.3">
      <c r="A248" s="19" t="s">
        <v>644</v>
      </c>
      <c r="B248" s="18" t="str">
        <f>VLOOKUP($A248,Questions!$A$2:$X$333,2,0)</f>
        <v>Do you have a current, executed within the past year, Attestation of Compliance (AoC) or Report on Compliance (RoC)?*</v>
      </c>
      <c r="C248" s="45" t="str">
        <f>VLOOKUP($A248,'Institution Evaluation'!$A$56:$K$345,3,0)&amp;""</f>
        <v/>
      </c>
      <c r="D248" s="45" t="str">
        <f>VLOOKUP($A248,'Institution Evaluation'!$A$56:$K$345,4,0)&amp;""</f>
        <v>This question does not apply.</v>
      </c>
      <c r="E248" s="330" t="str">
        <f>VLOOKUP($A248,'Institution Evaluation'!$A$56:$K$345,5,0)&amp;""</f>
        <v>Based on the response to REQU-06 on the "START HERE" tab, this question does not apply to this product or service.</v>
      </c>
      <c r="F248" s="188" t="str">
        <f>VLOOKUP($A248,'Institution Evaluation'!$A$56:$K$345,6,0)&amp;""</f>
        <v/>
      </c>
      <c r="G248" s="30" t="str">
        <f>VLOOKUP($A248,'Institution Evaluation'!$A$56:$K$345,7,0)&amp;""</f>
        <v>Yes</v>
      </c>
      <c r="H248" s="185" t="str">
        <f>VLOOKUP($A248,'Institution Evaluation'!$A$56:$K$345,8,0)&amp;""</f>
        <v/>
      </c>
      <c r="I248" s="45" t="str">
        <f>VLOOKUP($A248,'Institution Evaluation'!$A$56:$K$345,9,0)&amp;""</f>
        <v>Critical Importance</v>
      </c>
      <c r="J248" s="186" t="str">
        <f>VLOOKUP($A248,'Institution Evaluation'!$A$56:$K$345,10,0)&amp;""</f>
        <v/>
      </c>
      <c r="K248" s="48" t="str">
        <f>IF(VLOOKUP($A248,'Institution Evaluation'!$A$56:$K$345,10,0)=TRUE,'Auto Responses'!$J$3,"")</f>
        <v/>
      </c>
      <c r="N248" s="60"/>
    </row>
    <row r="249" spans="1:14" ht="81" x14ac:dyDescent="0.3">
      <c r="A249" s="19" t="s">
        <v>648</v>
      </c>
      <c r="B249" s="18" t="str">
        <f>VLOOKUP($A249,Questions!$A$2:$X$333,2,0)</f>
        <v>Is the application listed as an approved Payment Application Data Security Standard (PA-DSS) application?*</v>
      </c>
      <c r="C249" s="45" t="str">
        <f>VLOOKUP($A249,'Institution Evaluation'!$A$56:$K$345,3,0)&amp;""</f>
        <v/>
      </c>
      <c r="D249" s="45" t="str">
        <f>VLOOKUP($A249,'Institution Evaluation'!$A$56:$K$345,4,0)&amp;""</f>
        <v>This question does not apply.</v>
      </c>
      <c r="E249" s="330" t="str">
        <f>VLOOKUP($A249,'Institution Evaluation'!$A$56:$K$345,5,0)&amp;""</f>
        <v>Based on the response to REQU-06 on the "START HERE" tab, this question does not apply to this product or service.</v>
      </c>
      <c r="F249" s="188" t="str">
        <f>VLOOKUP($A249,'Institution Evaluation'!$A$56:$K$345,6,0)&amp;""</f>
        <v/>
      </c>
      <c r="G249" s="30" t="str">
        <f>VLOOKUP($A249,'Institution Evaluation'!$A$56:$K$345,7,0)&amp;""</f>
        <v>No</v>
      </c>
      <c r="H249" s="185" t="str">
        <f>VLOOKUP($A249,'Institution Evaluation'!$A$56:$K$345,8,0)&amp;""</f>
        <v/>
      </c>
      <c r="I249" s="45" t="str">
        <f>VLOOKUP($A249,'Institution Evaluation'!$A$56:$K$345,9,0)&amp;""</f>
        <v>Critical Importance</v>
      </c>
      <c r="J249" s="186" t="str">
        <f>VLOOKUP($A249,'Institution Evaluation'!$A$56:$K$345,10,0)&amp;""</f>
        <v/>
      </c>
      <c r="K249" s="48" t="str">
        <f>IF(VLOOKUP($A249,'Institution Evaluation'!$A$56:$K$345,10,0)=TRUE,'Auto Responses'!$J$3,"")</f>
        <v/>
      </c>
    </row>
    <row r="250" spans="1:14" ht="81" x14ac:dyDescent="0.3">
      <c r="A250" s="19" t="s">
        <v>650</v>
      </c>
      <c r="B250" s="18" t="str">
        <f>VLOOKUP($A250,Questions!$A$2:$X$333,2,0)</f>
        <v>Does the system or solutions use a third party to collect, store, process, or transmit cardholder (payment/credit/debt card) data?*</v>
      </c>
      <c r="C250" s="45" t="str">
        <f>VLOOKUP($A250,'Institution Evaluation'!$A$56:$K$345,3,0)&amp;""</f>
        <v/>
      </c>
      <c r="D250" s="45" t="str">
        <f>VLOOKUP($A250,'Institution Evaluation'!$A$56:$K$345,4,0)&amp;""</f>
        <v>This question does not apply.</v>
      </c>
      <c r="E250" s="330" t="str">
        <f>VLOOKUP($A250,'Institution Evaluation'!$A$56:$K$345,5,0)&amp;""</f>
        <v>Based on the response to REQU-06 on the "START HERE" tab, this question does not apply to this product or service.</v>
      </c>
      <c r="F250" s="188" t="str">
        <f>VLOOKUP($A250,'Institution Evaluation'!$A$56:$K$345,6,0)&amp;""</f>
        <v/>
      </c>
      <c r="G250" s="30" t="str">
        <f>VLOOKUP($A250,'Institution Evaluation'!$A$56:$K$345,7,0)&amp;""</f>
        <v>No</v>
      </c>
      <c r="H250" s="185" t="str">
        <f>VLOOKUP($A250,'Institution Evaluation'!$A$56:$K$345,8,0)&amp;""</f>
        <v/>
      </c>
      <c r="I250" s="45" t="str">
        <f>VLOOKUP($A250,'Institution Evaluation'!$A$56:$K$345,9,0)&amp;""</f>
        <v>Critical Importance</v>
      </c>
      <c r="J250" s="186" t="str">
        <f>VLOOKUP($A250,'Institution Evaluation'!$A$56:$K$345,10,0)&amp;""</f>
        <v/>
      </c>
      <c r="K250" s="48" t="str">
        <f>IF(VLOOKUP($A250,'Institution Evaluation'!$A$56:$K$345,10,0)=TRUE,'Auto Responses'!$J$3,"")</f>
        <v/>
      </c>
    </row>
    <row r="251" spans="1:14" ht="81" x14ac:dyDescent="0.3">
      <c r="A251" s="19" t="s">
        <v>651</v>
      </c>
      <c r="B251" s="18" t="str">
        <f>VLOOKUP($A251,Questions!$A$2:$X$333,2,0)</f>
        <v>Do your systems or solutions store, process, or transmit cardholder (payment/credit/debt card) data?</v>
      </c>
      <c r="C251" s="45" t="str">
        <f>VLOOKUP($A251,'Institution Evaluation'!$A$56:$K$345,3,0)&amp;""</f>
        <v/>
      </c>
      <c r="D251" s="45" t="str">
        <f>VLOOKUP($A251,'Institution Evaluation'!$A$56:$K$345,4,0)&amp;""</f>
        <v>This question does not apply.</v>
      </c>
      <c r="E251" s="330" t="str">
        <f>VLOOKUP($A251,'Institution Evaluation'!$A$56:$K$345,5,0)&amp;""</f>
        <v>Based on the response to REQU-06 on the "START HERE" tab, this question does not apply to this product or service.</v>
      </c>
      <c r="F251" s="188" t="str">
        <f>VLOOKUP($A251,'Institution Evaluation'!$A$56:$K$345,6,0)&amp;""</f>
        <v/>
      </c>
      <c r="G251" s="30" t="str">
        <f>VLOOKUP($A251,'Institution Evaluation'!$A$56:$K$345,7,0)&amp;""</f>
        <v>Yes</v>
      </c>
      <c r="H251" s="185" t="str">
        <f>VLOOKUP($A251,'Institution Evaluation'!$A$56:$K$345,8,0)&amp;""</f>
        <v/>
      </c>
      <c r="I251" s="45" t="str">
        <f>VLOOKUP($A251,'Institution Evaluation'!$A$56:$K$345,9,0)&amp;""</f>
        <v>Standard Importance</v>
      </c>
      <c r="J251" s="186" t="str">
        <f>VLOOKUP($A251,'Institution Evaluation'!$A$56:$K$345,10,0)&amp;""</f>
        <v/>
      </c>
      <c r="K251" s="48" t="str">
        <f>IF(VLOOKUP($A251,'Institution Evaluation'!$A$56:$K$345,10,0)=TRUE,'Auto Responses'!$J$3,"")</f>
        <v/>
      </c>
    </row>
    <row r="252" spans="1:14" ht="81" x14ac:dyDescent="0.3">
      <c r="A252" s="19" t="s">
        <v>653</v>
      </c>
      <c r="B252" s="18" t="str">
        <f>VLOOKUP($A252,Questions!$A$2:$X$333,2,0)</f>
        <v>Are you compliant with the Payment Card Industry Data Security Standard (PCI DSS)?</v>
      </c>
      <c r="C252" s="45" t="str">
        <f>VLOOKUP($A252,'Institution Evaluation'!$A$56:$K$345,3,0)&amp;""</f>
        <v/>
      </c>
      <c r="D252" s="45" t="str">
        <f>VLOOKUP($A252,'Institution Evaluation'!$A$56:$K$345,4,0)&amp;""</f>
        <v>This question does not apply.</v>
      </c>
      <c r="E252" s="330" t="str">
        <f>VLOOKUP($A252,'Institution Evaluation'!$A$56:$K$345,5,0)&amp;""</f>
        <v>Based on the response to REQU-06 on the "START HERE" tab, this question does not apply to this product or service.</v>
      </c>
      <c r="F252" s="188" t="str">
        <f>VLOOKUP($A252,'Institution Evaluation'!$A$56:$K$345,6,0)&amp;""</f>
        <v/>
      </c>
      <c r="G252" s="30" t="str">
        <f>VLOOKUP($A252,'Institution Evaluation'!$A$56:$K$345,7,0)&amp;""</f>
        <v>Yes</v>
      </c>
      <c r="H252" s="185" t="str">
        <f>VLOOKUP($A252,'Institution Evaluation'!$A$56:$K$345,8,0)&amp;""</f>
        <v/>
      </c>
      <c r="I252" s="45" t="str">
        <f>VLOOKUP($A252,'Institution Evaluation'!$A$56:$K$345,9,0)&amp;""</f>
        <v>Standard Importance</v>
      </c>
      <c r="J252" s="186" t="str">
        <f>VLOOKUP($A252,'Institution Evaluation'!$A$56:$K$345,10,0)&amp;""</f>
        <v/>
      </c>
      <c r="K252" s="48" t="str">
        <f>IF(VLOOKUP($A252,'Institution Evaluation'!$A$56:$K$345,10,0)=TRUE,'Auto Responses'!$J$3,"")</f>
        <v/>
      </c>
    </row>
    <row r="253" spans="1:14" ht="81" x14ac:dyDescent="0.3">
      <c r="A253" s="19" t="s">
        <v>654</v>
      </c>
      <c r="B253" s="18" t="str">
        <f>VLOOKUP($A253,Questions!$A$2:$X$333,2,0)</f>
        <v>Are you classified as a service provider?</v>
      </c>
      <c r="C253" s="45" t="str">
        <f>VLOOKUP($A253,'Institution Evaluation'!$A$56:$K$345,3,0)&amp;""</f>
        <v/>
      </c>
      <c r="D253" s="45" t="str">
        <f>VLOOKUP($A253,'Institution Evaluation'!$A$56:$K$345,4,0)&amp;""</f>
        <v>This question does not apply.</v>
      </c>
      <c r="E253" s="330" t="str">
        <f>VLOOKUP($A253,'Institution Evaluation'!$A$56:$K$345,5,0)&amp;""</f>
        <v>Based on the response to REQU-06 on the "START HERE" tab, this question does not apply to this product or service.</v>
      </c>
      <c r="F253" s="188" t="str">
        <f>VLOOKUP($A253,'Institution Evaluation'!$A$56:$K$345,6,0)&amp;""</f>
        <v/>
      </c>
      <c r="G253" s="30" t="str">
        <f>VLOOKUP($A253,'Institution Evaluation'!$A$56:$K$345,7,0)&amp;""</f>
        <v>Yes</v>
      </c>
      <c r="H253" s="185" t="str">
        <f>VLOOKUP($A253,'Institution Evaluation'!$A$56:$K$345,8,0)&amp;""</f>
        <v/>
      </c>
      <c r="I253" s="45" t="str">
        <f>VLOOKUP($A253,'Institution Evaluation'!$A$56:$K$345,9,0)&amp;""</f>
        <v>Standard Importance</v>
      </c>
      <c r="J253" s="186" t="str">
        <f>VLOOKUP($A253,'Institution Evaluation'!$A$56:$K$345,10,0)&amp;""</f>
        <v/>
      </c>
      <c r="K253" s="48" t="str">
        <f>IF(VLOOKUP($A253,'Institution Evaluation'!$A$56:$K$345,10,0)=TRUE,'Auto Responses'!$J$3,"")</f>
        <v/>
      </c>
    </row>
    <row r="254" spans="1:14" ht="81" x14ac:dyDescent="0.3">
      <c r="A254" s="19" t="s">
        <v>656</v>
      </c>
      <c r="B254" s="18" t="str">
        <f>VLOOKUP($A254,Questions!$A$2:$X$333,2,0)</f>
        <v>Are you on the list of Visa approved service providers?</v>
      </c>
      <c r="C254" s="45" t="str">
        <f>VLOOKUP($A254,'Institution Evaluation'!$A$56:$K$345,3,0)&amp;""</f>
        <v/>
      </c>
      <c r="D254" s="45" t="str">
        <f>VLOOKUP($A254,'Institution Evaluation'!$A$56:$K$345,4,0)&amp;""</f>
        <v>This question does not apply.</v>
      </c>
      <c r="E254" s="330" t="str">
        <f>VLOOKUP($A254,'Institution Evaluation'!$A$56:$K$345,5,0)&amp;""</f>
        <v>Based on the response to REQU-06 on the "START HERE" tab, this question does not apply to this product or service.</v>
      </c>
      <c r="F254" s="188" t="str">
        <f>VLOOKUP($A254,'Institution Evaluation'!$A$56:$K$345,6,0)&amp;""</f>
        <v/>
      </c>
      <c r="G254" s="30" t="str">
        <f>VLOOKUP($A254,'Institution Evaluation'!$A$56:$K$345,7,0)&amp;""</f>
        <v>Yes</v>
      </c>
      <c r="H254" s="185" t="str">
        <f>VLOOKUP($A254,'Institution Evaluation'!$A$56:$K$345,8,0)&amp;""</f>
        <v/>
      </c>
      <c r="I254" s="45" t="str">
        <f>VLOOKUP($A254,'Institution Evaluation'!$A$56:$K$345,9,0)&amp;""</f>
        <v>Standard Importance</v>
      </c>
      <c r="J254" s="186" t="str">
        <f>VLOOKUP($A254,'Institution Evaluation'!$A$56:$K$345,10,0)&amp;""</f>
        <v/>
      </c>
      <c r="K254" s="48" t="str">
        <f>IF(VLOOKUP($A254,'Institution Evaluation'!$A$56:$K$345,10,0)=TRUE,'Auto Responses'!$J$3,"")</f>
        <v/>
      </c>
    </row>
    <row r="255" spans="1:14" ht="81" x14ac:dyDescent="0.3">
      <c r="A255" s="19" t="s">
        <v>658</v>
      </c>
      <c r="B255" s="18" t="str">
        <f>VLOOKUP($A255,Questions!$A$2:$X$333,2,0)</f>
        <v>Are you classified as a merchant? If so, what level (1, 2, 3, 4)?</v>
      </c>
      <c r="C255" s="45" t="str">
        <f>VLOOKUP($A255,'Institution Evaluation'!$A$56:$K$345,3,0)&amp;""</f>
        <v/>
      </c>
      <c r="D255" s="45" t="str">
        <f>VLOOKUP($A255,'Institution Evaluation'!$A$56:$K$345,4,0)&amp;""</f>
        <v>This question does not apply.</v>
      </c>
      <c r="E255" s="330" t="str">
        <f>VLOOKUP($A255,'Institution Evaluation'!$A$56:$K$345,5,0)&amp;""</f>
        <v>Based on the response to REQU-06 on the "START HERE" tab, this question does not apply to this product or service.</v>
      </c>
      <c r="F255" s="188" t="str">
        <f>VLOOKUP($A255,'Institution Evaluation'!$A$56:$K$345,6,0)&amp;""</f>
        <v/>
      </c>
      <c r="G255" s="30" t="str">
        <f>VLOOKUP($A255,'Institution Evaluation'!$A$56:$K$345,7,0)&amp;""</f>
        <v>Yes</v>
      </c>
      <c r="H255" s="185" t="str">
        <f>VLOOKUP($A255,'Institution Evaluation'!$A$56:$K$345,8,0)&amp;""</f>
        <v/>
      </c>
      <c r="I255" s="45" t="str">
        <f>VLOOKUP($A255,'Institution Evaluation'!$A$56:$K$345,9,0)&amp;""</f>
        <v>Standard Importance</v>
      </c>
      <c r="J255" s="186" t="str">
        <f>VLOOKUP($A255,'Institution Evaluation'!$A$56:$K$345,10,0)&amp;""</f>
        <v/>
      </c>
      <c r="K255" s="48" t="str">
        <f>IF(VLOOKUP($A255,'Institution Evaluation'!$A$56:$K$345,10,0)=TRUE,'Auto Responses'!$J$3,"")</f>
        <v/>
      </c>
    </row>
    <row r="256" spans="1:14" ht="81" x14ac:dyDescent="0.3">
      <c r="A256" s="19" t="s">
        <v>660</v>
      </c>
      <c r="B256" s="18" t="str">
        <f>VLOOKUP($A256,Questions!$A$2:$X$333,2,0)</f>
        <v>Describe the architecture employed by the system to verify and authorize credit card transactions.</v>
      </c>
      <c r="C256" s="45" t="str">
        <f>VLOOKUP($A256,'Institution Evaluation'!$A$56:$K$345,3,0)&amp;""</f>
        <v/>
      </c>
      <c r="D256" s="45" t="str">
        <f>VLOOKUP($A256,'Institution Evaluation'!$A$56:$K$345,4,0)&amp;""</f>
        <v>This question does not apply.</v>
      </c>
      <c r="E256" s="330" t="str">
        <f>VLOOKUP($A256,'Institution Evaluation'!$A$56:$K$345,5,0)&amp;""</f>
        <v>Based on the response to REQU-06 on the "START HERE" tab, this question does not apply to this product or service.</v>
      </c>
      <c r="F256" s="188" t="str">
        <f>VLOOKUP($A256,'Institution Evaluation'!$A$56:$K$345,6,0)&amp;""</f>
        <v/>
      </c>
      <c r="G256" s="30" t="str">
        <f>VLOOKUP($A256,'Institution Evaluation'!$A$56:$K$345,7,0)&amp;""</f>
        <v>Not scored</v>
      </c>
      <c r="H256" s="185" t="str">
        <f>VLOOKUP($A256,'Institution Evaluation'!$A$56:$K$345,8,0)&amp;""</f>
        <v/>
      </c>
      <c r="I256" s="45" t="str">
        <f>VLOOKUP($A256,'Institution Evaluation'!$A$56:$K$345,9,0)&amp;""</f>
        <v/>
      </c>
      <c r="J256" s="186" t="str">
        <f>VLOOKUP($A256,'Institution Evaluation'!$A$56:$K$345,10,0)&amp;""</f>
        <v/>
      </c>
      <c r="K256" s="48" t="str">
        <f>IF(VLOOKUP($A256,'Institution Evaluation'!$A$56:$K$345,10,0)=TRUE,'Auto Responses'!$J$3,"")</f>
        <v/>
      </c>
    </row>
    <row r="257" spans="1:13" ht="81" x14ac:dyDescent="0.3">
      <c r="A257" s="19" t="s">
        <v>661</v>
      </c>
      <c r="B257" s="18" t="str">
        <f>VLOOKUP($A257,Questions!$A$2:$X$333,2,0)</f>
        <v>What payment processors/gateways does the system support?</v>
      </c>
      <c r="C257" s="45" t="str">
        <f>VLOOKUP($A257,'Institution Evaluation'!$A$56:$K$345,3,0)&amp;""</f>
        <v/>
      </c>
      <c r="D257" s="45" t="str">
        <f>VLOOKUP($A257,'Institution Evaluation'!$A$56:$K$345,4,0)&amp;""</f>
        <v>This question does not apply.</v>
      </c>
      <c r="E257" s="330" t="str">
        <f>VLOOKUP($A257,'Institution Evaluation'!$A$56:$K$345,5,0)&amp;""</f>
        <v>Based on the response to REQU-06 on the "START HERE" tab, this question does not apply to this product or service.</v>
      </c>
      <c r="F257" s="188" t="str">
        <f>VLOOKUP($A257,'Institution Evaluation'!$A$56:$K$345,6,0)&amp;""</f>
        <v/>
      </c>
      <c r="G257" s="30" t="str">
        <f>VLOOKUP($A257,'Institution Evaluation'!$A$56:$K$345,7,0)&amp;""</f>
        <v>Not scored</v>
      </c>
      <c r="H257" s="185" t="str">
        <f>VLOOKUP($A257,'Institution Evaluation'!$A$56:$K$345,8,0)&amp;""</f>
        <v/>
      </c>
      <c r="I257" s="45" t="str">
        <f>VLOOKUP($A257,'Institution Evaluation'!$A$56:$K$345,9,0)&amp;""</f>
        <v/>
      </c>
      <c r="J257" s="186" t="str">
        <f>VLOOKUP($A257,'Institution Evaluation'!$A$56:$K$345,10,0)&amp;""</f>
        <v/>
      </c>
      <c r="K257" s="48" t="str">
        <f>IF(VLOOKUP($A257,'Institution Evaluation'!$A$56:$K$345,10,0)=TRUE,'Auto Responses'!$J$3,"")</f>
        <v/>
      </c>
    </row>
    <row r="258" spans="1:13" ht="81" x14ac:dyDescent="0.3">
      <c r="A258" s="19" t="s">
        <v>662</v>
      </c>
      <c r="B258" s="18" t="str">
        <f>VLOOKUP($A258,Questions!$A$2:$X$333,2,0)</f>
        <v>Can the application be installed in a PCI DSS–compliant manner?</v>
      </c>
      <c r="C258" s="45" t="str">
        <f>VLOOKUP($A258,'Institution Evaluation'!$A$56:$K$345,3,0)&amp;""</f>
        <v/>
      </c>
      <c r="D258" s="45" t="str">
        <f>VLOOKUP($A258,'Institution Evaluation'!$A$56:$K$345,4,0)&amp;""</f>
        <v>This question does not apply.</v>
      </c>
      <c r="E258" s="330" t="str">
        <f>VLOOKUP($A258,'Institution Evaluation'!$A$56:$K$345,5,0)&amp;""</f>
        <v>Based on the response to REQU-06 on the "START HERE" tab, this question does not apply to this product or service.</v>
      </c>
      <c r="F258" s="188" t="str">
        <f>VLOOKUP($A258,'Institution Evaluation'!$A$56:$K$345,6,0)&amp;""</f>
        <v/>
      </c>
      <c r="G258" s="30" t="str">
        <f>VLOOKUP($A258,'Institution Evaluation'!$A$56:$K$345,7,0)&amp;""</f>
        <v>Yes</v>
      </c>
      <c r="H258" s="185" t="str">
        <f>VLOOKUP($A258,'Institution Evaluation'!$A$56:$K$345,8,0)&amp;""</f>
        <v/>
      </c>
      <c r="I258" s="45" t="str">
        <f>VLOOKUP($A258,'Institution Evaluation'!$A$56:$K$345,9,0)&amp;""</f>
        <v>Minor Importance</v>
      </c>
      <c r="J258" s="186" t="str">
        <f>VLOOKUP($A258,'Institution Evaluation'!$A$56:$K$345,10,0)&amp;""</f>
        <v/>
      </c>
      <c r="K258" s="48" t="str">
        <f>IF(VLOOKUP($A258,'Institution Evaluation'!$A$56:$K$345,10,0)=TRUE,'Auto Responses'!$J$3,"")</f>
        <v/>
      </c>
    </row>
    <row r="259" spans="1:13" ht="81" x14ac:dyDescent="0.25">
      <c r="A259" s="19" t="s">
        <v>663</v>
      </c>
      <c r="B259" s="18" t="str">
        <f>VLOOKUP($A259,Questions!$A$2:$X$333,2,0)</f>
        <v>Include documentation describing the system's abilities to comply with the PCI DSS and any features or capabilities of the system that must be added or changed in order to operate in compliance with the standards.</v>
      </c>
      <c r="C259" s="45" t="str">
        <f>VLOOKUP($A259,'Institution Evaluation'!$A$56:$K$345,3,0)&amp;""</f>
        <v/>
      </c>
      <c r="D259" s="45" t="str">
        <f>VLOOKUP($A259,'Institution Evaluation'!$A$56:$K$345,4,0)&amp;""</f>
        <v>This question does not apply.</v>
      </c>
      <c r="E259" s="330" t="str">
        <f>VLOOKUP($A259,'Institution Evaluation'!$A$56:$K$345,5,0)&amp;""</f>
        <v>Based on the response to REQU-06 on the "START HERE" tab, this question does not apply to this product or service.</v>
      </c>
      <c r="F259" s="188" t="str">
        <f>VLOOKUP($A259,'Institution Evaluation'!$A$56:$K$345,6,0)&amp;""</f>
        <v/>
      </c>
      <c r="G259" s="30" t="str">
        <f>VLOOKUP($A259,'Institution Evaluation'!$A$56:$K$345,7,0)&amp;""</f>
        <v>Not scored</v>
      </c>
      <c r="H259" s="185" t="str">
        <f>VLOOKUP($A259,'Institution Evaluation'!$A$56:$K$345,8,0)&amp;""</f>
        <v/>
      </c>
      <c r="I259" s="45" t="str">
        <f>VLOOKUP($A259,'Institution Evaluation'!$A$56:$K$345,9,0)&amp;""</f>
        <v/>
      </c>
      <c r="J259" s="186" t="str">
        <f>VLOOKUP($A259,'Institution Evaluation'!$A$56:$K$345,10,0)&amp;""</f>
        <v/>
      </c>
      <c r="K259" s="48" t="str">
        <f>IF(VLOOKUP($A259,'Institution Evaluation'!$A$56:$K$345,10,0)=TRUE,'Auto Responses'!$J$3,"")</f>
        <v/>
      </c>
      <c r="M259" s="238" t="s">
        <v>1449</v>
      </c>
    </row>
    <row r="260" spans="1:13" ht="47.25" customHeight="1" x14ac:dyDescent="0.3">
      <c r="A260" s="267" t="s">
        <v>1507</v>
      </c>
    </row>
    <row r="261" spans="1:13" ht="34.5" hidden="1" customHeight="1" x14ac:dyDescent="0.3"/>
    <row r="262" spans="1:13" ht="34.5" hidden="1" customHeight="1" x14ac:dyDescent="0.3"/>
    <row r="263" spans="1:13" ht="34.5" hidden="1" customHeight="1" x14ac:dyDescent="0.3"/>
    <row r="264" spans="1:13" ht="34.5" hidden="1" customHeight="1" x14ac:dyDescent="0.3"/>
    <row r="265" spans="1:13" ht="34.5" hidden="1" customHeight="1" x14ac:dyDescent="0.3"/>
  </sheetData>
  <mergeCells count="1">
    <mergeCell ref="A19:C19"/>
  </mergeCells>
  <phoneticPr fontId="31" type="noConversion"/>
  <conditionalFormatting sqref="F21:G31">
    <cfRule type="dataBar" priority="2">
      <dataBar>
        <cfvo type="num" val="0"/>
        <cfvo type="num" val="1"/>
        <color rgb="FFD0DAF0"/>
      </dataBar>
      <extLst>
        <ext xmlns:x14="http://schemas.microsoft.com/office/spreadsheetml/2009/9/main" uri="{B025F937-C7B1-47D3-B67F-A62EFF666E3E}">
          <x14:id>{4165CB4E-F7AA-436A-8B40-909F03E9D6F5}</x14:id>
        </ext>
      </extLst>
    </cfRule>
  </conditionalFormatting>
  <conditionalFormatting sqref="H31:I31">
    <cfRule type="dataBar" priority="1">
      <dataBar>
        <cfvo type="num" val="0"/>
        <cfvo type="num" val="1"/>
        <color rgb="FF638EC6"/>
      </dataBar>
      <extLst>
        <ext xmlns:x14="http://schemas.microsoft.com/office/spreadsheetml/2009/9/main" uri="{B025F937-C7B1-47D3-B67F-A62EFF666E3E}">
          <x14:id>{A6716C0F-3CA2-4D89-8D49-37B22DBD9D1F}</x14:id>
        </ext>
      </extLst>
    </cfRule>
  </conditionalFormatting>
  <dataValidations count="3">
    <dataValidation allowBlank="1" showInputMessage="1" showErrorMessage="1" prompt="This answer has been populated from the &quot;START HERE&quot; tab and does not need to be re-entered." sqref="C11:C17" xr:uid="{F870502E-697A-4875-ABEE-C92B24B0607E}"/>
    <dataValidation allowBlank="1" showInputMessage="1" showErrorMessage="1" prompt="The HECVAT is built using a number of complex formulas. Editing this cell can break the functionality of the tool. " sqref="A11:B17 A35:K44 B2:J10 A3:A10 B20:I31" xr:uid="{2555B969-D0D6-4640-A68B-2B178F3C9EA5}"/>
    <dataValidation allowBlank="1" showInputMessage="1" showErrorMessage="1" promptTitle="Warning!" prompt="The HECVAT is built using a number of complex formulas. Editing this cell can break the functionality of the tool. " sqref="G247 I46:I120 G46:G120 I130 G130 I135 G135 I142 G142 I145 G145 I150 G150 I160 G160 I164 G164 I170 G170 I173 G173 I189 G189 I192 G192 I199 G199 I207 G207 I212 G212 I217 G217 I247 A45:E120" xr:uid="{2C8E55E6-5CCD-497E-AD40-1159ED4F899F}"/>
  </dataValidations>
  <hyperlinks>
    <hyperlink ref="G21" location="'Privacy Analyst Evaluation'!A47" display="'Privacy Analyst Evaluation'!A47" xr:uid="{63AE7EE6-A856-4AFE-84E3-761A880419C2}"/>
    <hyperlink ref="F247" location="'Privacy Analyst Evaluation'!A1" display="Back to Scorecard" xr:uid="{379AF5FC-674E-4EF2-A183-EE3548258B6D}"/>
    <hyperlink ref="F217" location="'Privacy Analyst Evaluation'!A1" display="Back to Scorecard" xr:uid="{C67BE28C-D43B-404A-9446-F2FB927C3E7D}"/>
    <hyperlink ref="F212" location="'Privacy Analyst Evaluation'!A1" display="Back to Scorecard" xr:uid="{FDF0B533-6B12-4240-A611-BD46DD733A41}"/>
    <hyperlink ref="F207" location="'Privacy Analyst Evaluation'!A1" display="Back to Scorecard" xr:uid="{82180CF4-FE4D-480A-969B-C66D2E194F77}"/>
    <hyperlink ref="F199" location="'Privacy Analyst Evaluation'!A1" display="Back to Scorecard" xr:uid="{F41B2A8E-BB52-403C-9CBB-F1D0D424C60A}"/>
    <hyperlink ref="F192" location="'Privacy Analyst Evaluation'!A1" display="Back to Scorecard" xr:uid="{5080AF1D-7713-4CDD-B46A-FAC872D2B645}"/>
    <hyperlink ref="F189" location="'Privacy Analyst Evaluation'!A1" display="Back to Scorecard" xr:uid="{8367AE48-344C-4DE1-B6C0-3D067CCF36E2}"/>
    <hyperlink ref="F173" location="'Privacy Analyst Evaluation'!A1" display="Back to Scorecard" xr:uid="{0E22E045-58AC-4F59-BFDC-B51EBADA4C9A}"/>
    <hyperlink ref="F170" location="'Privacy Analyst Evaluation'!A1" display="Back to Scorecard" xr:uid="{E80C8F95-67E8-4E83-8D91-72D89341206C}"/>
    <hyperlink ref="F164" location="'Privacy Analyst Evaluation'!A1" display="Back to Scorecard" xr:uid="{71950CE1-93EE-4A22-9EB3-B177163B8D19}"/>
    <hyperlink ref="F160" location="'Privacy Analyst Evaluation'!A1" display="Back to Scorecard" xr:uid="{1678DDD5-5AB1-4BBE-A892-86EE54E5749E}"/>
    <hyperlink ref="F150" location="'Privacy Analyst Evaluation'!A1" display="Back to Scorecard" xr:uid="{932496F6-EF1F-4F3B-9F23-795B54DC61EC}"/>
    <hyperlink ref="F145" location="'Privacy Analyst Evaluation'!A1" display="Back to Scorecard" xr:uid="{E0BBCE8C-F241-4CA0-8057-88431548B815}"/>
    <hyperlink ref="F142" location="'Privacy Analyst Evaluation'!A1" display="Back to Scorecard" xr:uid="{3D1FD166-7415-42C2-9D45-1943E83DE131}"/>
    <hyperlink ref="F135" location="'Privacy Analyst Evaluation'!A1" display="Back to Scorecard" xr:uid="{325A4D09-6C9C-42F7-AB78-2205A726B96B}"/>
    <hyperlink ref="F130" location="'Privacy Analyst Evaluation'!A1" display="Back to Scorecard" xr:uid="{9AFEC1C0-6DC4-4B69-93F1-D6FDD7FCD48F}"/>
    <hyperlink ref="F125" location="'Privacy Analyst Evaluation'!A1" display="Back to Scorecard" xr:uid="{FE56F838-F355-4EFA-AA58-FDACC5DA1138}"/>
    <hyperlink ref="F112" location="'Privacy Analyst Evaluation'!A1" display="Back to Scorecard" xr:uid="{AF1AD6D0-6E84-4FD7-8EB5-76E9501011EE}"/>
    <hyperlink ref="F96" location="'Privacy Analyst Evaluation'!A1" display="Back to Scorecard" xr:uid="{A557E4F2-C33F-4D8A-8B4F-9DDE8341D067}"/>
    <hyperlink ref="F90" location="'Privacy Analyst Evaluation'!A1" display="Back to Scorecard" xr:uid="{1FA36500-AAD2-4FE6-8ED2-BE24426EA2F8}"/>
    <hyperlink ref="F76" location="'Privacy Analyst Evaluation'!A1" display="Back to Scorecard" xr:uid="{A141E48B-0E50-4B02-A927-F8C1FE04F9A3}"/>
    <hyperlink ref="F67" location="'Privacy Analyst Evaluation'!A1" display="Back to Scorecard" xr:uid="{CD2D9C18-9B95-420F-A65A-8C4E1DB820F9}"/>
    <hyperlink ref="F64" location="'Privacy Analyst Evaluation'!A1" display="Back to Scorecard" xr:uid="{56505024-37B2-4CF5-9238-CD47476405E1}"/>
    <hyperlink ref="F61" location="'Privacy Analyst Evaluation'!A1" display="Back to Scorecard" xr:uid="{1EED68A2-7306-4410-BCD6-552F19D3621B}"/>
    <hyperlink ref="F57" location="'Privacy Analyst Evaluation'!A1" display="Back to Scorecard" xr:uid="{14E0627B-E487-44E4-B6BD-71F7BE3606BD}"/>
    <hyperlink ref="F52" location="'Privacy Analyst Evaluation'!A1" display="Back to Scorecard" xr:uid="{89E54AE8-F912-4EF5-93C4-BAFBAC5571B2}"/>
    <hyperlink ref="F46" location="'Privacy Analyst Evaluation'!A1" display="Back to Scorecard" xr:uid="{6732EEEC-E41C-4D05-A8BB-7A6FDC560186}"/>
    <hyperlink ref="A10" r:id="rId1" display="http://www.educause.edu/HECVAT" xr:uid="{F4B2EBCC-D744-4488-8E73-490FA2185475}"/>
    <hyperlink ref="G22:G30" location="'Privacy Analyst Evaluation'!A47" display="'Privacy Analyst Evaluation'!A47" xr:uid="{1251A0D8-0A08-4A63-B905-D6DAFC387987}"/>
  </hyperlinks>
  <pageMargins left="0.7" right="0.7" top="0.75" bottom="0.75" header="0.3" footer="0.3"/>
  <pageSetup orientation="portrait" verticalDpi="300" r:id="rId2"/>
  <extLst>
    <ext xmlns:x14="http://schemas.microsoft.com/office/spreadsheetml/2009/9/main" uri="{78C0D931-6437-407d-A8EE-F0AAD7539E65}">
      <x14:conditionalFormattings>
        <x14:conditionalFormatting xmlns:xm="http://schemas.microsoft.com/office/excel/2006/main">
          <x14:cfRule type="dataBar" id="{4165CB4E-F7AA-436A-8B40-909F03E9D6F5}">
            <x14:dataBar minLength="0" maxLength="100" gradient="0" direction="leftToRight" axisPosition="none">
              <x14:cfvo type="num">
                <xm:f>0</xm:f>
              </x14:cfvo>
              <x14:cfvo type="num">
                <xm:f>1</xm:f>
              </x14:cfvo>
              <x14:negativeFillColor rgb="FFFF0000"/>
            </x14:dataBar>
          </x14:cfRule>
          <xm:sqref>F21:G31</xm:sqref>
        </x14:conditionalFormatting>
        <x14:conditionalFormatting xmlns:xm="http://schemas.microsoft.com/office/excel/2006/main">
          <x14:cfRule type="dataBar" id="{A6716C0F-3CA2-4D89-8D49-37B22DBD9D1F}">
            <x14:dataBar minLength="0" maxLength="100" gradient="0" direction="leftToRight" axisPosition="none">
              <x14:cfvo type="num">
                <xm:f>0</xm:f>
              </x14:cfvo>
              <x14:cfvo type="num">
                <xm:f>1</xm:f>
              </x14:cfvo>
              <x14:negativeFillColor rgb="FFFF0000"/>
            </x14:dataBar>
          </x14:cfRule>
          <xm:sqref>H31:I31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1CDF9FA-EF26-4CA9-9DED-D51F5F3EE73E}">
          <x14:formula1>
            <xm:f>'Auto Responses'!$J$7:$J$8</xm:f>
          </x14:formula1>
          <xm:sqref>H97:H111 H47:H51 H53:H56 H58:H60 H62:H63 H65:H66 H68:H75 H77:H89 H91:H95 H113:H120</xm:sqref>
        </x14:dataValidation>
        <x14:dataValidation type="list" allowBlank="1" showInputMessage="1" showErrorMessage="1" xr:uid="{C0805B23-116E-488E-B5C7-4B565A9E1283}">
          <x14:formula1>
            <xm:f>'Auto Responses'!$J$11:$J$14</xm:f>
          </x14:formula1>
          <xm:sqref>J97:J111 J47:J51 J53:J56 J58:J60 J62:J63 J65:J66 J68:J75 J77:J89 J91:J95 J113:J120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0A68-79C7-495B-8ACA-8313C2E55678}">
  <sheetPr>
    <tabColor rgb="FF7ECCA0"/>
  </sheetPr>
  <dimension ref="A1:F385"/>
  <sheetViews>
    <sheetView showZeros="0" topLeftCell="A10" zoomScale="80" zoomScaleNormal="80" workbookViewId="0">
      <selection activeCell="C8" sqref="C8"/>
    </sheetView>
  </sheetViews>
  <sheetFormatPr defaultColWidth="0" defaultRowHeight="16.2" zeroHeight="1" x14ac:dyDescent="0.25"/>
  <cols>
    <col min="1" max="1" width="11.07421875" style="55" customWidth="1"/>
    <col min="2" max="2" width="57.765625" style="52" customWidth="1"/>
    <col min="3" max="3" width="71.07421875" style="53" customWidth="1"/>
    <col min="4" max="4" width="80.3046875" style="54" customWidth="1"/>
    <col min="5" max="5" width="6.61328125" style="55" customWidth="1"/>
    <col min="6" max="6" width="0" style="55" hidden="1" customWidth="1"/>
    <col min="7" max="16384" width="6.61328125" style="55" hidden="1"/>
  </cols>
  <sheetData>
    <row r="1" spans="1:5" ht="194.4" hidden="1" x14ac:dyDescent="0.25">
      <c r="A1" s="55" t="s">
        <v>1453</v>
      </c>
    </row>
    <row r="2" spans="1:5" ht="24.6" x14ac:dyDescent="0.3">
      <c r="A2" s="181" t="s">
        <v>942</v>
      </c>
      <c r="B2" s="181"/>
      <c r="C2" s="181"/>
      <c r="D2" s="268" t="s">
        <v>1507</v>
      </c>
    </row>
    <row r="3" spans="1:5" ht="17.399999999999999" x14ac:dyDescent="0.3">
      <c r="A3" s="233" t="s">
        <v>1031</v>
      </c>
      <c r="B3" s="65"/>
      <c r="C3" s="65"/>
      <c r="D3" s="269"/>
    </row>
    <row r="4" spans="1:5" ht="17.399999999999999" x14ac:dyDescent="0.3">
      <c r="A4" s="235" t="s">
        <v>1509</v>
      </c>
      <c r="B4" s="65"/>
      <c r="C4" s="65"/>
      <c r="D4" s="269"/>
    </row>
    <row r="5" spans="1:5" s="237" customFormat="1" ht="17.399999999999999" x14ac:dyDescent="0.3">
      <c r="A5" s="236" t="s">
        <v>1446</v>
      </c>
      <c r="B5" s="65"/>
      <c r="C5" s="65"/>
      <c r="D5" s="269"/>
    </row>
    <row r="6" spans="1:5" s="237" customFormat="1" ht="17.399999999999999" x14ac:dyDescent="0.3">
      <c r="A6" s="236" t="s">
        <v>1447</v>
      </c>
      <c r="B6" s="65"/>
      <c r="C6" s="65"/>
      <c r="D6" s="270"/>
    </row>
    <row r="7" spans="1:5" ht="17.399999999999999" x14ac:dyDescent="0.3">
      <c r="A7" s="234" t="str">
        <f>VLOOKUP(LEFT($A8,4),'Auto Responses'!$N$4:$O$38,2,0)&amp;""</f>
        <v xml:space="preserve"> General Information</v>
      </c>
      <c r="B7" s="63"/>
      <c r="C7" s="56" t="str">
        <f>Questions!$S$2</f>
        <v>Reason for Question</v>
      </c>
      <c r="D7" s="56" t="str">
        <f>Questions!$T$2</f>
        <v>Follow-Up Inquiries/Responses</v>
      </c>
    </row>
    <row r="8" spans="1:5" x14ac:dyDescent="0.3">
      <c r="A8" s="57" t="s">
        <v>21</v>
      </c>
      <c r="B8" s="57" t="str">
        <f>VLOOKUP($A8,Questions!$A$3:$X$333,2,0)&amp;""</f>
        <v>Solution Provider Name</v>
      </c>
      <c r="C8" s="57" t="str">
        <f>VLOOKUP($A8,Questions!$A$3:$X$333,19,0)&amp;""</f>
        <v/>
      </c>
      <c r="D8" s="57" t="str">
        <f>VLOOKUP($A8,Questions!$A$3:$X$333,20,0)&amp;""</f>
        <v/>
      </c>
    </row>
    <row r="9" spans="1:5" x14ac:dyDescent="0.3">
      <c r="A9" s="57" t="s">
        <v>24</v>
      </c>
      <c r="B9" s="57" t="str">
        <f>VLOOKUP($A9,Questions!$A$3:$X$333,2,0)&amp;""</f>
        <v>Solution Name</v>
      </c>
      <c r="C9" s="57" t="str">
        <f>VLOOKUP($A9,Questions!$A$3:$X$333,19,0)&amp;""</f>
        <v/>
      </c>
      <c r="D9" s="57" t="str">
        <f>VLOOKUP($A9,Questions!$A$3:$X$333,20,0)&amp;""</f>
        <v/>
      </c>
    </row>
    <row r="10" spans="1:5" x14ac:dyDescent="0.3">
      <c r="A10" s="57" t="s">
        <v>25</v>
      </c>
      <c r="B10" s="57" t="str">
        <f>VLOOKUP($A10,Questions!$A$3:$X$333,2,0)&amp;""</f>
        <v>Solution Description</v>
      </c>
      <c r="C10" s="57" t="str">
        <f>VLOOKUP($A10,Questions!$A$3:$X$333,19,0)&amp;""</f>
        <v/>
      </c>
      <c r="D10" s="57" t="str">
        <f>VLOOKUP($A10,Questions!$A$3:$X$333,20,0)&amp;""</f>
        <v/>
      </c>
    </row>
    <row r="11" spans="1:5" x14ac:dyDescent="0.3">
      <c r="A11" s="57" t="s">
        <v>26</v>
      </c>
      <c r="B11" s="57" t="str">
        <f>VLOOKUP($A11,Questions!$A$3:$X$333,2,0)&amp;""</f>
        <v>Solution Provider Contact Name</v>
      </c>
      <c r="C11" s="57" t="str">
        <f>VLOOKUP($A11,Questions!$A$3:$X$333,19,0)&amp;""</f>
        <v/>
      </c>
      <c r="D11" s="57" t="str">
        <f>VLOOKUP($A11,Questions!$A$3:$X$333,20,0)&amp;""</f>
        <v/>
      </c>
    </row>
    <row r="12" spans="1:5" x14ac:dyDescent="0.3">
      <c r="A12" s="57" t="s">
        <v>27</v>
      </c>
      <c r="B12" s="57" t="str">
        <f>VLOOKUP($A12,Questions!$A$3:$X$333,2,0)&amp;""</f>
        <v>Solution Provider Contact Title</v>
      </c>
      <c r="C12" s="57" t="str">
        <f>VLOOKUP($A12,Questions!$A$3:$X$333,19,0)&amp;""</f>
        <v/>
      </c>
      <c r="D12" s="57" t="str">
        <f>VLOOKUP($A12,Questions!$A$3:$X$333,20,0)&amp;""</f>
        <v/>
      </c>
    </row>
    <row r="13" spans="1:5" x14ac:dyDescent="0.3">
      <c r="A13" s="57" t="s">
        <v>28</v>
      </c>
      <c r="B13" s="57" t="str">
        <f>VLOOKUP($A13,Questions!$A$3:$X$333,2,0)&amp;""</f>
        <v>Solution Provider Contact Email</v>
      </c>
      <c r="C13" s="57" t="str">
        <f>VLOOKUP($A13,Questions!$A$3:$X$333,19,0)&amp;""</f>
        <v/>
      </c>
      <c r="D13" s="57" t="str">
        <f>VLOOKUP($A13,Questions!$A$3:$X$333,20,0)&amp;""</f>
        <v/>
      </c>
    </row>
    <row r="14" spans="1:5" x14ac:dyDescent="0.3">
      <c r="A14" s="57" t="s">
        <v>29</v>
      </c>
      <c r="B14" s="57" t="str">
        <f>VLOOKUP($A14,Questions!$A$3:$X$333,2,0)&amp;""</f>
        <v>Solution Provider Contact Phone Number</v>
      </c>
      <c r="C14" s="57" t="str">
        <f>VLOOKUP($A14,Questions!$A$3:$X$333,19,0)&amp;""</f>
        <v/>
      </c>
      <c r="D14" s="57" t="str">
        <f>VLOOKUP($A14,Questions!$A$3:$X$333,20,0)&amp;""</f>
        <v/>
      </c>
    </row>
    <row r="15" spans="1:5" x14ac:dyDescent="0.3">
      <c r="A15" s="57" t="s">
        <v>30</v>
      </c>
      <c r="B15" s="57" t="str">
        <f>VLOOKUP($A15,Questions!$A$3:$X$333,2,0)&amp;""</f>
        <v>Country of Company Headquarters</v>
      </c>
      <c r="C15" s="57" t="str">
        <f>VLOOKUP($A15,Questions!$A$3:$X$333,19,0)&amp;""</f>
        <v/>
      </c>
      <c r="D15" s="57" t="str">
        <f>VLOOKUP($A15,Questions!$A$3:$X$333,20,0)&amp;""</f>
        <v/>
      </c>
    </row>
    <row r="16" spans="1:5" x14ac:dyDescent="0.25">
      <c r="A16" s="57" t="s">
        <v>32</v>
      </c>
      <c r="B16" s="57" t="str">
        <f>VLOOKUP($A16,Questions!$A$3:$X$333,2,0)&amp;""</f>
        <v>Employee Work Locations (all)</v>
      </c>
      <c r="C16" s="57" t="str">
        <f>VLOOKUP($A16,Questions!$A$3:$X$333,19,0)&amp;""</f>
        <v>Determines where solution provider employees will be physically located.</v>
      </c>
      <c r="D16" s="57" t="str">
        <f>VLOOKUP($A16,Questions!$A$3:$X$333,20,0)&amp;""</f>
        <v>Follow-up inquiries will be institution/implementation specific.</v>
      </c>
      <c r="E16" s="241" t="s">
        <v>1454</v>
      </c>
    </row>
    <row r="17" spans="1:5" ht="17.399999999999999" x14ac:dyDescent="0.3">
      <c r="A17" s="63" t="str">
        <f>VLOOKUP(LEFT($A18,4),'Auto Responses'!$N$4:$O$38,2,0)&amp;""</f>
        <v xml:space="preserve"> Company Information</v>
      </c>
      <c r="B17" s="63"/>
      <c r="C17" s="56" t="str">
        <f>Questions!$S$2</f>
        <v>Reason for Question</v>
      </c>
      <c r="D17" s="56" t="str">
        <f>Questions!$T$2</f>
        <v>Follow-Up Inquiries/Responses</v>
      </c>
    </row>
    <row r="18" spans="1:5" ht="55.2" x14ac:dyDescent="0.3">
      <c r="A18" s="57" t="s">
        <v>35</v>
      </c>
      <c r="B18" s="57" t="str">
        <f>VLOOKUP($A18,Questions!$A$3:$X$333,2,0)&amp;""</f>
        <v>Do you have a dedicated software and system development team(s) (e.g., customer support, implementation, product management, etc.)?*</v>
      </c>
      <c r="C18" s="57" t="str">
        <f>VLOOKUP($A18,Questions!$A$3:$X$333,19,0)&amp;""</f>
        <v>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v>
      </c>
      <c r="D18" s="57" t="str">
        <f>VLOOKUP($A18,Questions!$A$3:$X$333,20,0)&amp;""</f>
        <v>Follow-up inquiries for solution provider team strategies will be unique to your institution and may depend on the underlying infrastructures needed to support a system for your specific use case.</v>
      </c>
    </row>
    <row r="19" spans="1:5" ht="43.5" customHeight="1" x14ac:dyDescent="0.3">
      <c r="A19" s="57" t="s">
        <v>42</v>
      </c>
      <c r="B19" s="57" t="str">
        <f>VLOOKUP($A19,Questions!$A$3:$X$333,2,0)&amp;""</f>
        <v>Describe your organization’s business background and ownership structure, including all parent and subsidiary relationships.</v>
      </c>
      <c r="C19" s="57" t="str">
        <f>VLOOKUP($A19,Questions!$A$3:$X$333,19,0)&amp;""</f>
        <v>This information defines the scale of company (support, resources, skillsets), general information about the organization that may be concerning.</v>
      </c>
      <c r="D19" s="57" t="str">
        <f>VLOOKUP($A19,Questions!$A$3:$X$333,20,0)&amp;""</f>
        <v>Follow-up responses to this one are normally unique to their response. Vague answers here usually result in some footprinting of a solution provider to determine their "reputation."</v>
      </c>
    </row>
    <row r="20" spans="1:5" ht="67.5" customHeight="1" x14ac:dyDescent="0.3">
      <c r="A20" s="57" t="s">
        <v>44</v>
      </c>
      <c r="B20" s="57" t="str">
        <f>VLOOKUP($A20,Questions!$A$3:$X$333,2,0)&amp;""</f>
        <v>Have you operated without unplanned disruptions to this solution in the past 12 months?</v>
      </c>
      <c r="C20" s="57" t="str">
        <f>VLOOKUP($A20,Questions!$A$3:$X$333,19,0)&amp;""</f>
        <v>We want transparency from the solution provider, and an honest answer to this question, regardless of the response, is a good step in building trust.</v>
      </c>
      <c r="D20" s="57" t="str">
        <f>VLOOKUP($A20,Questions!$A$3:$X$333,20,0)&amp;""</f>
        <v>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v>
      </c>
    </row>
    <row r="21" spans="1:5" ht="67.5" customHeight="1" x14ac:dyDescent="0.3">
      <c r="A21" s="57" t="s">
        <v>45</v>
      </c>
      <c r="B21" s="57" t="str">
        <f>VLOOKUP($A21,Questions!$A$3:$X$333,2,0)&amp;""</f>
        <v>Do you have a dedicated information security staff or office?</v>
      </c>
      <c r="C21" s="57" t="str">
        <f>VLOOKUP($A21,Questions!$A$3:$X$333,19,0)&amp;""</f>
        <v>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v>
      </c>
      <c r="D21" s="57" t="str">
        <f>VLOOKUP($A21,Questions!$A$3:$X$333,20,0)&amp;""</f>
        <v>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v>
      </c>
    </row>
    <row r="22" spans="1:5" ht="64.5" customHeight="1" x14ac:dyDescent="0.25">
      <c r="A22" s="57" t="s">
        <v>47</v>
      </c>
      <c r="B22" s="57" t="str">
        <f>VLOOKUP($A22,Questions!$A$3:$X$333,2,0)&amp;""</f>
        <v>Use this area to share information about your environment that will assist those who are assessing your company's data security program.</v>
      </c>
      <c r="C22" s="57" t="str">
        <f>VLOOKUP($A22,Questions!$A$3:$X$333,19,0)&amp;""</f>
        <v>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v>
      </c>
      <c r="D22" s="57" t="str">
        <f>VLOOKUP($A22,Questions!$A$3:$X$333,20,0)&amp;""</f>
        <v>This is a freebie to help the solution provider state their case. If a solution provider does not add anything here (or it is just sales stuff), we can assume it was filled out by a sales engineer and questions will be evaluated with higher scrutiny.</v>
      </c>
      <c r="E22" s="241" t="s">
        <v>1454</v>
      </c>
    </row>
    <row r="23" spans="1:5" ht="17.399999999999999" x14ac:dyDescent="0.3">
      <c r="A23" s="63" t="str">
        <f>VLOOKUP(LEFT($A24,4),'Auto Responses'!$N$4:$O$38,2,0)&amp;""</f>
        <v xml:space="preserve"> Required Questions</v>
      </c>
      <c r="B23" s="63"/>
      <c r="C23" s="56" t="str">
        <f>Questions!$S$2</f>
        <v>Reason for Question</v>
      </c>
      <c r="D23" s="56" t="str">
        <f>Questions!$T$2</f>
        <v>Follow-Up Inquiries/Responses</v>
      </c>
    </row>
    <row r="24" spans="1:5" s="301" customFormat="1" ht="17.399999999999999" x14ac:dyDescent="0.3">
      <c r="A24" s="302" t="s">
        <v>1515</v>
      </c>
      <c r="B24" s="299"/>
      <c r="C24" s="300"/>
      <c r="D24" s="300"/>
    </row>
    <row r="25" spans="1:5" ht="36.75" customHeight="1" x14ac:dyDescent="0.3">
      <c r="A25" s="57" t="s">
        <v>48</v>
      </c>
      <c r="B25" s="57" t="str">
        <f>VLOOKUP($A25,Questions!$A$3:$X$333,2,0)&amp;""</f>
        <v>Are you offering a cloud-based product?</v>
      </c>
      <c r="C25" s="57" t="s">
        <v>1482</v>
      </c>
      <c r="D25" s="57" t="str">
        <f>VLOOKUP($A25,Questions!$A$3:$X$333,19,0)&amp;""</f>
        <v/>
      </c>
    </row>
    <row r="26" spans="1:5" ht="38.25" customHeight="1" x14ac:dyDescent="0.3">
      <c r="A26" s="57" t="s">
        <v>51</v>
      </c>
      <c r="B26" s="57" t="str">
        <f>VLOOKUP($A26,Questions!$A$3:$X$333,2,0)&amp;""</f>
        <v>Does your product or service have an interface?</v>
      </c>
      <c r="C26" s="57" t="s">
        <v>1483</v>
      </c>
      <c r="D26" s="57" t="str">
        <f>VLOOKUP($A26,Questions!$A$3:$X$333,19,0)&amp;""</f>
        <v/>
      </c>
    </row>
    <row r="27" spans="1:5" x14ac:dyDescent="0.3">
      <c r="A27" s="57" t="s">
        <v>54</v>
      </c>
      <c r="B27" s="57" t="str">
        <f>VLOOKUP($A27,Questions!$A$3:$X$333,2,0)&amp;""</f>
        <v>Are you providing consulting services?</v>
      </c>
      <c r="C27" s="57" t="s">
        <v>1484</v>
      </c>
      <c r="D27" s="57" t="str">
        <f>VLOOKUP($A27,Questions!$A$3:$X$333,19,0)&amp;""</f>
        <v/>
      </c>
    </row>
    <row r="28" spans="1:5" ht="27.6" x14ac:dyDescent="0.3">
      <c r="A28" s="57" t="s">
        <v>58</v>
      </c>
      <c r="B28" s="57" t="str">
        <f>VLOOKUP($A28,Questions!$A$3:$X$333,2,0)&amp;""</f>
        <v>Does your solution have AI features, or are there plans to implement AI features in the next 12 months?</v>
      </c>
      <c r="C28" s="57" t="s">
        <v>1485</v>
      </c>
      <c r="D28" s="57" t="str">
        <f>VLOOKUP($A28,Questions!$A$3:$X$333,19,0)&amp;""</f>
        <v/>
      </c>
    </row>
    <row r="29" spans="1:5" ht="27.6" x14ac:dyDescent="0.3">
      <c r="A29" s="57" t="s">
        <v>61</v>
      </c>
      <c r="B29" s="57" t="str">
        <f>VLOOKUP($A29,Questions!$A$3:$X$333,2,0)&amp;""</f>
        <v>Does your solution process protected health information (PHI) or any data covered by the Health Insurance Portability and Accountability Act (HIPAA)?</v>
      </c>
      <c r="C29" s="57" t="s">
        <v>1486</v>
      </c>
      <c r="D29" s="57" t="str">
        <f>VLOOKUP($A29,Questions!$A$3:$X$333,19,0)&amp;""</f>
        <v/>
      </c>
    </row>
    <row r="30" spans="1:5" ht="33.75" customHeight="1" x14ac:dyDescent="0.3">
      <c r="A30" s="57" t="s">
        <v>64</v>
      </c>
      <c r="B30" s="57" t="str">
        <f>VLOOKUP($A30,Questions!$A$3:$X$333,2,0)&amp;""</f>
        <v>Is the solution designed to process, store, or transmit credit card information?</v>
      </c>
      <c r="C30" s="57" t="s">
        <v>1487</v>
      </c>
      <c r="D30" s="57" t="str">
        <f>VLOOKUP($A30,Questions!$A$3:$X$333,19,0)&amp;""</f>
        <v/>
      </c>
    </row>
    <row r="31" spans="1:5" ht="66.75" customHeight="1" x14ac:dyDescent="0.25">
      <c r="A31" s="57" t="s">
        <v>67</v>
      </c>
      <c r="B31" s="57" t="str">
        <f>VLOOKUP($A31,Questions!$A$3:$X$333,2,0)&amp;""</f>
        <v>Does operating your solution require the institution to operate a physical or virtual appliance in their own environment or to provide inbound firewall exceptions to allow your employees to remotely administer systems in the institution's environment?</v>
      </c>
      <c r="C31" s="57" t="s">
        <v>1488</v>
      </c>
      <c r="D31" s="57" t="str">
        <f>VLOOKUP($A31,Questions!$A$3:$X$333,19,0)&amp;""</f>
        <v/>
      </c>
      <c r="E31" s="241" t="s">
        <v>1454</v>
      </c>
    </row>
    <row r="32" spans="1:5" ht="17.399999999999999" x14ac:dyDescent="0.3">
      <c r="A32" s="63" t="str">
        <f>VLOOKUP(LEFT($A33,4),'Auto Responses'!$N$4:$O$38,2,0)&amp;""</f>
        <v xml:space="preserve"> Documentation</v>
      </c>
      <c r="B32" s="63"/>
      <c r="C32" s="56" t="str">
        <f>Questions!$S$2</f>
        <v>Reason for Question</v>
      </c>
      <c r="D32" s="56" t="str">
        <f>Questions!$T$2</f>
        <v>Follow-Up Inquiries/Responses</v>
      </c>
    </row>
    <row r="33" spans="1:5" ht="57" customHeight="1" x14ac:dyDescent="0.3">
      <c r="A33" s="57" t="s">
        <v>70</v>
      </c>
      <c r="B33" s="57" t="str">
        <f>VLOOKUP($A33,Questions!$A$3:$X$333,2,0)&amp;""</f>
        <v>Do you have a well-documented business continuity plan (BCP), with a clear owner, that is tested annually?*</v>
      </c>
      <c r="C33" s="57" t="str">
        <f>VLOOKUP($A33,Questions!$A$3:$X$333,19,0)&amp;""</f>
        <v>Testing a business continuity plan is an important action that improves the efficiency and accuracy of a solution provider's continuity plans. Vague responses to this question should be met with concern and appropriate follow-up, based on your institutions risk tolerance.</v>
      </c>
      <c r="D33" s="57" t="str">
        <f>VLOOKUP($A33,Questions!$A$3:$X$333,20,0)&amp;""</f>
        <v/>
      </c>
    </row>
    <row r="34" spans="1:5" ht="57" customHeight="1" x14ac:dyDescent="0.3">
      <c r="A34" s="57" t="s">
        <v>76</v>
      </c>
      <c r="B34" s="57" t="str">
        <f>VLOOKUP($A34,Questions!$A$3:$X$333,2,0)&amp;""</f>
        <v>Do you have a well-documented disaster recovery plan (DRP), with a clear owner, that is tested annually?*</v>
      </c>
      <c r="C34" s="57" t="str">
        <f>VLOOKUP($A34,Questions!$A$3:$X$333,19,0)&amp;""</f>
        <v>Testing a disaster recovery plan is an important action that improves the efficiency and accuracy of a solution provider's recovery plans. Vague responses to this question should be met with concern and appropriate follow-up, based on your institutions risk tolerance.</v>
      </c>
      <c r="D34" s="57" t="str">
        <f>VLOOKUP($A34,Questions!$A$3:$X$333,20,0)&amp;""</f>
        <v/>
      </c>
    </row>
    <row r="35" spans="1:5" ht="35.25" customHeight="1" x14ac:dyDescent="0.3">
      <c r="A35" s="57" t="s">
        <v>77</v>
      </c>
      <c r="B35" s="57" t="str">
        <f>VLOOKUP($A35,Questions!$A$3:$X$333,2,0)&amp;""</f>
        <v>Have you undergone a SSAE 18/SOC 2 audit?</v>
      </c>
      <c r="C35" s="57" t="str">
        <f>VLOOKUP($A35,Questions!$A$3:$X$333,19,0)&amp;""</f>
        <v>SSAE 18 and SOC2 audits are standard documentation, relevant to institutions requiring a solution provider to undergo SSAE 18 audits.</v>
      </c>
      <c r="D35" s="57" t="str">
        <f>VLOOKUP($A35,Questions!$A$3:$X$333,20,0)&amp;""</f>
        <v>Follow-up inquiries for SSAE 18 content will be institution/implementation specific.</v>
      </c>
    </row>
    <row r="36" spans="1:5" ht="55.2" x14ac:dyDescent="0.3">
      <c r="A36" s="57" t="s">
        <v>80</v>
      </c>
      <c r="B36" s="57" t="str">
        <f>VLOOKUP($A36,Questions!$A$3:$X$333,2,0)&amp;""</f>
        <v>Do you conform with a specific industry standard security framework (e.g., NIST Cybersecurity Framework, CIS Controls, ISO 27001, etc.)?</v>
      </c>
      <c r="C36" s="57" t="str">
        <f>VLOOKUP($A36,Questions!$A$3:$X$333,19,0)&amp;""</f>
        <v>The details of the standard are not the focus here; it is the fact that a solution provider builds their environment around a standard and that they continually evaluate and assess their security programs.</v>
      </c>
      <c r="D36" s="57" t="str">
        <f>VLOOKUP($A36,Questions!$A$3:$X$333,20,0)&amp;""</f>
        <v>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v>
      </c>
    </row>
    <row r="37" spans="1:5" ht="64.5" customHeight="1" x14ac:dyDescent="0.3">
      <c r="A37" s="57" t="s">
        <v>84</v>
      </c>
      <c r="B37" s="57" t="str">
        <f>VLOOKUP($A37,Questions!$A$3:$X$333,2,0)&amp;""</f>
        <v>Can you provide overall system and/or application architecture diagrams, including a full description of the data flow for all components of the system?</v>
      </c>
      <c r="C37" s="57" t="str">
        <f>VLOOKUP($A37,Questions!$A$3:$X$333,19,0)&amp;""</f>
        <v>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v>
      </c>
      <c r="D37" s="57" t="str">
        <f>VLOOKUP($A37,Questions!$A$3:$X$333,20,0)&amp;""</f>
        <v>Inquire about any privacy language the solution provider may have. It may not be ideal but there may be something available to assess or enough to have your legal counsel or policy/privacy professionals review.</v>
      </c>
    </row>
    <row r="38" spans="1:5" ht="63.75" customHeight="1" x14ac:dyDescent="0.3">
      <c r="A38" s="57" t="s">
        <v>88</v>
      </c>
      <c r="B38" s="57" t="str">
        <f>VLOOKUP($A38,Questions!$A$3:$X$333,2,0)&amp;""</f>
        <v>Does your organization have a data privacy policy?</v>
      </c>
      <c r="C38" s="57" t="str">
        <f>VLOOKUP($A38,Questions!$A$3:$X$333,19,0)&amp;""</f>
        <v>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v>
      </c>
      <c r="D38" s="57" t="str">
        <f>VLOOKUP($A38,Questions!$A$3:$X$333,20,0)&amp;""</f>
        <v>Inquire about any privacy language the solution provider may have. It may not be ideal but there may be something available to assess or enough to have your legal counsel or policy/privacy professionals review.</v>
      </c>
    </row>
    <row r="39" spans="1:5" ht="78" customHeight="1" x14ac:dyDescent="0.25">
      <c r="A39" s="57" t="s">
        <v>92</v>
      </c>
      <c r="B39" s="57" t="str">
        <f>VLOOKUP($A39,Questions!$A$3:$X$333,2,0)&amp;""</f>
        <v>Do you have a documented, and currently implemented, employee onboarding and offboarding policy?</v>
      </c>
      <c r="C39" s="57" t="str">
        <f>VLOOKUP($A39,Questions!$A$3:$X$333,19,0)&amp;""</f>
        <v>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v>
      </c>
      <c r="D39" s="57" t="str">
        <f>VLOOKUP($A39,Questions!$A$3:$X$333,20,0)&amp;""</f>
        <v>Unsatisfactory answers should be met with questions about access control authority, roles and responsibilities (of access grantors), administrative privileges within the solution provider's infrastructure(s), etc.</v>
      </c>
      <c r="E39" s="241" t="s">
        <v>1454</v>
      </c>
    </row>
    <row r="40" spans="1:5" ht="17.399999999999999" x14ac:dyDescent="0.3">
      <c r="A40" s="63" t="str">
        <f>VLOOKUP(LEFT($A41,4),'Auto Responses'!$N$4:$O$38,2,0)&amp;""</f>
        <v xml:space="preserve"> Assessment of Third Parties</v>
      </c>
      <c r="B40" s="63"/>
      <c r="C40" s="56" t="str">
        <f>Questions!$S$2</f>
        <v>Reason for Question</v>
      </c>
      <c r="D40" s="56" t="str">
        <f>Questions!$T$2</f>
        <v>Follow-Up Inquiries/Responses</v>
      </c>
    </row>
    <row r="41" spans="1:5" ht="55.2" x14ac:dyDescent="0.3">
      <c r="A41" s="57" t="s">
        <v>130</v>
      </c>
      <c r="B41" s="57" t="str">
        <f>VLOOKUP($A41,Questions!$A$3:$X$333,2,0)&amp;""</f>
        <v>Do you perform security assessments of third-party companies with which you share data (e.g., hosting providers, cloud services, PaaS, IaaS, SaaS)?*</v>
      </c>
      <c r="C41" s="57" t="str">
        <f>VLOOKUP($A41,Questions!$A$3:$X$333,19,0)&amp;""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41" s="57" t="str">
        <f>VLOOKUP($A41,Questions!$A$3:$X$333,20,0)&amp;""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42" spans="1:5" ht="27.6" x14ac:dyDescent="0.3">
      <c r="A42" s="57" t="s">
        <v>134</v>
      </c>
      <c r="B42" s="57" t="str">
        <f>VLOOKUP($A42,Questions!$A$3:$X$333,2,0)&amp;""</f>
        <v>Do you have contractual language in place with third parties governing access to institutional data?*</v>
      </c>
      <c r="C42" s="57" t="str">
        <f>VLOOKUP($A42,Questions!$A$3:$X$333,19,0)&amp;""</f>
        <v>The sharing of institutional data to fourth-parties may increase the risk to the institution and thus, we want to know who gets what data, when they get that data, and why they get that data.</v>
      </c>
      <c r="D42" s="57" t="str">
        <f>VLOOKUP($A42,Questions!$A$3:$X$333,20,0)&amp;""</f>
        <v>Follow-up inquiries concerning third-party data sharing will be institution/implementation specific.</v>
      </c>
    </row>
    <row r="43" spans="1:5" ht="27.6" x14ac:dyDescent="0.3">
      <c r="A43" s="57" t="s">
        <v>136</v>
      </c>
      <c r="B43" s="57" t="str">
        <f>VLOOKUP($A43,Questions!$A$3:$X$333,2,0)&amp;""</f>
        <v>Do the contracts in place with these third parties address liability in the event of a data breach?*</v>
      </c>
      <c r="C43" s="57" t="str">
        <f>VLOOKUP($A43,Questions!$A$3:$X$333,19,0)&amp;""</f>
        <v>Knowing the protections and legal agreements in place for third-party data sharing may assist analysts in determining residual risk.</v>
      </c>
      <c r="D43" s="57" t="str">
        <f>VLOOKUP($A43,Questions!$A$3:$X$333,20,0)&amp;""</f>
        <v>Follow-up inquiries concerning legal agreements with third parties will be institution/implementation specific.</v>
      </c>
    </row>
    <row r="44" spans="1:5" ht="96.6" x14ac:dyDescent="0.3">
      <c r="A44" s="57" t="s">
        <v>137</v>
      </c>
      <c r="B44" s="57" t="str">
        <f>VLOOKUP($A44,Questions!$A$3:$X$333,2,0)&amp;""</f>
        <v>Do you have an implemented third-party management strategy?*</v>
      </c>
      <c r="C44" s="57" t="str">
        <f>VLOOKUP($A44,Questions!$A$3:$X$333,19,0)&amp;""</f>
        <v>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44" s="57" t="str">
        <f>VLOOKUP($A44,Questions!$A$3:$X$333,20,0)&amp;""</f>
        <v>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v>
      </c>
    </row>
    <row r="45" spans="1:5" ht="80.25" customHeight="1" x14ac:dyDescent="0.3">
      <c r="A45" s="57" t="s">
        <v>140</v>
      </c>
      <c r="B45" s="57" t="str">
        <f>VLOOKUP($A45,Questions!$A$3:$X$333,2,0)&amp;""</f>
        <v>Do you have a process and implemented procedures for managing your hardware supply chain (e.g., telecommunications equipment, export licensing, computing devices)?</v>
      </c>
      <c r="C45" s="57" t="str">
        <f>VLOOKUP($A45,Questions!$A$3:$X$333,19,0)&amp;""</f>
        <v>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45" s="57" t="str">
        <f>VLOOKUP($A45,Questions!$A$3:$X$333,20,0)&amp;""</f>
        <v>Follow-up inquiries concerning hardware supply chain will be institution/implementation specific.</v>
      </c>
    </row>
    <row r="46" spans="1:5" ht="17.399999999999999" x14ac:dyDescent="0.3">
      <c r="A46" s="63" t="str">
        <f>VLOOKUP(LEFT($A47,4),'Auto Responses'!$N$4:$O$38,2,0)&amp;""</f>
        <v xml:space="preserve"> Change Management</v>
      </c>
      <c r="B46" s="63"/>
      <c r="C46" s="56" t="str">
        <f>Questions!$S$2</f>
        <v>Reason for Question</v>
      </c>
      <c r="D46" s="56" t="str">
        <f>Questions!$T$2</f>
        <v>Follow-Up Inquiries/Responses</v>
      </c>
    </row>
    <row r="47" spans="1:5" ht="55.5" customHeight="1" x14ac:dyDescent="0.3">
      <c r="A47" s="57" t="s">
        <v>274</v>
      </c>
      <c r="B47" s="57" t="str">
        <f>VLOOKUP($A47,Questions!$A$3:$X$333,2,0)&amp;""</f>
        <v>Will the institution be notified of major changes to your environment that could impact the institution's security posture?*</v>
      </c>
      <c r="C47" s="57" t="str">
        <f>VLOOKUP($A47,Questions!$A$3:$X$333,19,0)&amp;""</f>
        <v>Notification expectations should be set earlier in the contract/assessment process. Timelines, correspondence medium, and playbook details are all aspects to keep in mind when assessing this response.</v>
      </c>
      <c r="D47" s="57" t="str">
        <f>VLOOKUP($A47,Questions!$A$3:$X$333,20,0)&amp;""</f>
        <v>If the solution provider's response does not cover the details outlined in the reasoning, follow up and get specific responses for each, as needed.</v>
      </c>
    </row>
    <row r="48" spans="1:5" ht="41.4" x14ac:dyDescent="0.3">
      <c r="A48" s="57" t="s">
        <v>279</v>
      </c>
      <c r="B48" s="57" t="str">
        <f>VLOOKUP($A48,Questions!$A$3:$X$333,2,0)&amp;""</f>
        <v>Does the system support client customizations from one release to another?*</v>
      </c>
      <c r="C48" s="57" t="str">
        <f>VLOOKUP($A48,Questions!$A$3:$X$333,19,0)&amp;""</f>
        <v>The solution provider's solution characteristics and the institution's use case will determine the relevancy of this question. The purpose of this question is to understand the underlying infrastructure and how it is maintained across all customers.</v>
      </c>
      <c r="D48" s="57" t="str">
        <f>VLOOKUP($A48,Questions!$A$3:$X$333,20,0)&amp;""</f>
        <v>In cases where the solution is customized for customer use cases, ensure the solution provider's response covers all aspects of code migration, including backups, data conversions, local resources from the institution, etc., as it relates to code upgrades and/or version adoptions.</v>
      </c>
    </row>
    <row r="49" spans="1:5" ht="59.25" customHeight="1" x14ac:dyDescent="0.3">
      <c r="A49" s="57" t="s">
        <v>280</v>
      </c>
      <c r="B49" s="57" t="str">
        <f>VLOOKUP($A49,Questions!$A$3:$X$333,2,0)&amp;""</f>
        <v>Do you have an implemented system configuration management process (e.g., secure "gold" images, etc.)?*</v>
      </c>
      <c r="C49" s="57" t="str">
        <f>VLOOKUP($A49,Questions!$A$3:$X$333,19,0)&amp;""</f>
        <v>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v>
      </c>
      <c r="D49" s="57" t="str">
        <f>VLOOKUP($A49,Questions!$A$3:$X$333,20,0)&amp;""</f>
        <v>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50" spans="1:5" ht="41.4" x14ac:dyDescent="0.3">
      <c r="A50" s="57" t="s">
        <v>281</v>
      </c>
      <c r="B50" s="57" t="str">
        <f>VLOOKUP($A50,Questions!$A$3:$X$333,2,0)&amp;""</f>
        <v>Do you have a documented change management process?</v>
      </c>
      <c r="C50" s="57" t="str">
        <f>VLOOKUP($A50,Questions!$A$3:$X$333,19,0)&amp;""</f>
        <v>The lack of a change management function is indicative of immature program processes. Answers to this question can provide insight into how well their responses (on the HECVAT) represent their actual environment(s).</v>
      </c>
      <c r="D50" s="57" t="str">
        <f>VLOOKUP($A50,Questions!$A$3:$X$333,20,0)&amp;""</f>
        <v>If a weak response is given to this answer, response scrutiny should be increased. Questions about configuration management, system authority, and documentation are appropriate.</v>
      </c>
    </row>
    <row r="51" spans="1:5" ht="44.25" customHeight="1" x14ac:dyDescent="0.3">
      <c r="A51" s="57" t="s">
        <v>285</v>
      </c>
      <c r="B51" s="57" t="str">
        <f>VLOOKUP($A51,Questions!$A$3:$X$333,2,0)&amp;""</f>
        <v>Does your change management process minimally include authorization, impact analysis, testing, and validation before moving changes to production?</v>
      </c>
      <c r="C51" s="57" t="str">
        <f>VLOOKUP($A51,Questions!$A$3:$X$333,19,0)&amp;""</f>
        <v>This question outlines a mature change management process. Changes should be analyzed for impact, officially approved, tested, and performed by authorized users.</v>
      </c>
      <c r="D51" s="57" t="str">
        <f>VLOOKUP($A51,Questions!$A$3:$X$333,20,0)&amp;""</f>
        <v>If the solution provider's response does not cover the details outlined in the reasoning, follow up and get specific responses, as needed.</v>
      </c>
    </row>
    <row r="52" spans="1:5" ht="51" customHeight="1" x14ac:dyDescent="0.3">
      <c r="A52" s="57" t="s">
        <v>288</v>
      </c>
      <c r="B52" s="57" t="str">
        <f>VLOOKUP($A52,Questions!$A$3:$X$333,2,0)&amp;""</f>
        <v>Does your change management process verify that all required third-party libraries and dependencies are still supported with each major change?</v>
      </c>
      <c r="C52" s="57" t="str">
        <f>VLOOKUP($A52,Questions!$A$3:$X$333,19,0)&amp;""</f>
        <v>This question is fundamentally about supply chain. The solution provider should be able to document its procedures around tracking libraries maintained by third parties.</v>
      </c>
      <c r="D52" s="57" t="str">
        <f>VLOOKUP($A52,Questions!$A$3:$X$333,20,0)&amp;""</f>
        <v>If the solution provider's response does not cover the details outlined in the reasoning, follow-up and get specific responses for each, as needed.</v>
      </c>
    </row>
    <row r="53" spans="1:5" ht="39" customHeight="1" x14ac:dyDescent="0.3">
      <c r="A53" s="57" t="s">
        <v>292</v>
      </c>
      <c r="B53" s="57" t="str">
        <f>VLOOKUP($A53,Questions!$A$3:$X$333,2,0)&amp;""</f>
        <v>Do you have policy and procedure, currently implemented, managing how critical patches are applied to all systems and applications?</v>
      </c>
      <c r="C53" s="57" t="str">
        <f>VLOOKUP($A53,Questions!$A$3:$X$333,19,0)&amp;""</f>
        <v>Answers to this question will reveal the solution provider’s knowledge of their IT assets and their ability to respond to notifications about their systems and software.</v>
      </c>
      <c r="D53" s="57" t="str">
        <f>VLOOKUP($A53,Questions!$A$3:$X$333,20,0)&amp;""</f>
        <v>Follow-up inquiries for the solution provider’s patching practices will be institution/implementation specific.</v>
      </c>
    </row>
    <row r="54" spans="1:5" ht="63.75" customHeight="1" x14ac:dyDescent="0.3">
      <c r="A54" s="57" t="s">
        <v>296</v>
      </c>
      <c r="B54" s="57" t="str">
        <f>VLOOKUP($A54,Questions!$A$3:$X$333,2,0)&amp;""</f>
        <v>Have you implemented policies and procedures that guide how security risks are mitigated until patches can be applied?</v>
      </c>
      <c r="C54" s="57" t="str">
        <f>VLOOKUP($A54,Questions!$A$3:$X$333,19,0)&amp;""</f>
        <v>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v>
      </c>
      <c r="D54" s="57" t="str">
        <f>VLOOKUP($A54,Questions!$A$3:$X$333,20,0)&amp;""</f>
        <v>Follow-up inquiries for the solution providers patching practices will be institution/implementation specific.</v>
      </c>
    </row>
    <row r="55" spans="1:5" ht="71.25" customHeight="1" x14ac:dyDescent="0.3">
      <c r="A55" s="57" t="s">
        <v>299</v>
      </c>
      <c r="B55" s="57" t="str">
        <f>VLOOKUP($A55,Questions!$A$3:$X$333,2,0)&amp;""</f>
        <v>Do clients have the option to not participate in or postpone an upgrade to a new release?</v>
      </c>
      <c r="C55" s="57" t="str">
        <f>VLOOKUP($A55,Questions!$A$3:$X$333,19,0)&amp;""</f>
        <v>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v>
      </c>
      <c r="D55" s="57" t="str">
        <f>VLOOKUP($A55,Questions!$A$3:$X$333,20,0)&amp;""</f>
        <v>Follow-up inquiries for solution version releases will be institution/implementation specific.</v>
      </c>
    </row>
    <row r="56" spans="1:5" ht="51" customHeight="1" x14ac:dyDescent="0.3">
      <c r="A56" s="57" t="s">
        <v>302</v>
      </c>
      <c r="B56" s="57" t="str">
        <f>VLOOKUP($A56,Questions!$A$3:$X$333,2,0)&amp;""</f>
        <v>Do you have a fully implemented solution support strategy that defines how many concurrent versions you support?</v>
      </c>
      <c r="C56" s="57" t="str">
        <f>VLOOKUP($A56,Questions!$A$3:$X$333,19,0)&amp;""</f>
        <v>Supporting multiple versions of a solution is challenging. Understanding the solution provider’s strategy and resources will provide insight into its ability to adequately support their customers.</v>
      </c>
      <c r="D56" s="57" t="str">
        <f>VLOOKUP($A56,Questions!$A$3:$X$333,20,0)&amp;""</f>
        <v>Follow-up inquiries for the solution provider’s support of concurrent versions will be institution/implementation specific.</v>
      </c>
    </row>
    <row r="57" spans="1:5" ht="52.5" customHeight="1" x14ac:dyDescent="0.3">
      <c r="A57" s="57" t="s">
        <v>304</v>
      </c>
      <c r="B57" s="57" t="str">
        <f>VLOOKUP($A57,Questions!$A$3:$X$333,2,0)&amp;""</f>
        <v>Do you have a release schedule for product updates?</v>
      </c>
      <c r="C57" s="57" t="str">
        <f>VLOOKUP($A57,Questions!$A$3:$X$333,19,0)&amp;""</f>
        <v>Answers to this question will reveal the solution provider’s ability to plan in the short term. This is valuable information for customers so they can anticipate updates and potential bug fixes.</v>
      </c>
      <c r="D57" s="57" t="str">
        <f>VLOOKUP($A57,Questions!$A$3:$X$333,20,0)&amp;""</f>
        <v>Follow-up inquiries for the solution provider’s solution update practices will be institution/implementation specific.</v>
      </c>
    </row>
    <row r="58" spans="1:5" ht="27.6" x14ac:dyDescent="0.25">
      <c r="A58" s="57" t="s">
        <v>308</v>
      </c>
      <c r="B58" s="57" t="str">
        <f>VLOOKUP($A58,Questions!$A$3:$X$333,2,0)&amp;""</f>
        <v>Do you have a technology roadmap, for at least the next two years, for enhancements and bug fixes for the solution being assessed?</v>
      </c>
      <c r="C58" s="57" t="str">
        <f>VLOOKUP($A58,Questions!$A$3:$X$333,19,0)&amp;""</f>
        <v>Answers to this question will reveal the solution provider’s ability to plan for the future of their solution.</v>
      </c>
      <c r="D58" s="57" t="str">
        <f>VLOOKUP($A58,Questions!$A$3:$X$333,20,0)&amp;""</f>
        <v>Follow-up inquiries for the solution provider’s technology planning practices will be institution/implementation specific.</v>
      </c>
      <c r="E58" s="241" t="s">
        <v>1454</v>
      </c>
    </row>
    <row r="59" spans="1:5" ht="69" x14ac:dyDescent="0.3">
      <c r="A59" s="57" t="s">
        <v>311</v>
      </c>
      <c r="B59" s="57" t="str">
        <f>VLOOKUP($A59,Questions!$A$3:$X$333,2,0)&amp;""</f>
        <v>Can solution updates be completed without institutional involvement (i.e., technically or organizationally)?</v>
      </c>
      <c r="C59" s="57" t="str">
        <f>VLOOKUP($A59,Questions!$A$3:$X$333,19,0)&amp;""</f>
        <v>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v>
      </c>
      <c r="D59" s="57" t="str">
        <f>VLOOKUP($A59,Questions!$A$3:$X$333,20,0)&amp;""</f>
        <v>Vague responses to this question should be investigated further. Ask for additional documentation for customer responsibilities (in the context of information technology/security).</v>
      </c>
    </row>
    <row r="60" spans="1:5" ht="65.25" customHeight="1" x14ac:dyDescent="0.3">
      <c r="A60" s="57" t="s">
        <v>315</v>
      </c>
      <c r="B60" s="57" t="str">
        <f>VLOOKUP($A60,Questions!$A$3:$X$333,2,0)&amp;""</f>
        <v>Are upgrades or system changes installed during off-peak hours or in a manner that does not impact the customer?</v>
      </c>
      <c r="C60" s="57" t="str">
        <f>VLOOKUP($A60,Questions!$A$3:$X$333,19,0)&amp;""</f>
        <v>Restricting system updates to a standard maintenance timeframe is important for ensuring that changes to production systems do not impact operations. It’s also important for troubleshooting any problems that may occur as a result of the changes.</v>
      </c>
      <c r="D60" s="57" t="str">
        <f>VLOOKUP($A60,Questions!$A$3:$X$333,20,0)&amp;""</f>
        <v>If the solution provider's response does not cover the details outlined in the reasoning, follow up and get specific responses, as needed.</v>
      </c>
    </row>
    <row r="61" spans="1:5" ht="52.5" customHeight="1" x14ac:dyDescent="0.3">
      <c r="A61" s="57" t="s">
        <v>319</v>
      </c>
      <c r="B61" s="57" t="str">
        <f>VLOOKUP($A61,Questions!$A$3:$X$333,2,0)&amp;""</f>
        <v>Do procedures exist to provide that emergency changes are documented and authorized (including after-the-fact approval)?</v>
      </c>
      <c r="C61" s="57" t="str">
        <f>VLOOKUP($A61,Questions!$A$3:$X$333,19,0)&amp;""</f>
        <v>In the context of the CIA triad, this question is focused on system integrity, ensuring that system changes are only executed by authorized users. In the event of emergency changes, accountability and post-action review are expected.</v>
      </c>
      <c r="D61" s="57" t="str">
        <f>VLOOKUP($A61,Questions!$A$3:$X$333,20,0)&amp;""</f>
        <v>Follow up with a robust question set if a solution provider cannot clearly state full control of the integrity of their system(s).</v>
      </c>
    </row>
    <row r="62" spans="1:5" ht="66.75" customHeight="1" x14ac:dyDescent="0.3">
      <c r="A62" s="57" t="s">
        <v>321</v>
      </c>
      <c r="B62" s="57" t="str">
        <f>VLOOKUP($A62,Questions!$A$3:$X$333,2,0)&amp;""</f>
        <v>Do you have a systems management and configuration strategy that encompasses servers, appliances, cloud services, applications, and mobile devices (company and employee owned)?</v>
      </c>
      <c r="C62" s="57" t="str">
        <f>VLOOKUP($A62,Questions!$A$3:$X$333,19,0)&amp;""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62" s="57" t="str">
        <f>VLOOKUP($A62,Questions!$A$3:$X$333,20,0)&amp;""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63" spans="1:5" ht="17.399999999999999" x14ac:dyDescent="0.3">
      <c r="A63" s="63" t="str">
        <f>VLOOKUP(LEFT($A64,4),'Auto Responses'!$N$4:$O$38,2,0)&amp;""</f>
        <v xml:space="preserve"> Policies, Processes, and Procedures</v>
      </c>
      <c r="B63" s="63"/>
      <c r="C63" s="56" t="str">
        <f>Questions!$S$2</f>
        <v>Reason for Question</v>
      </c>
      <c r="D63" s="56" t="str">
        <f>Questions!$T$2</f>
        <v>Follow-Up Inquiries/Responses</v>
      </c>
    </row>
    <row r="64" spans="1:5" ht="75" customHeight="1" x14ac:dyDescent="0.25">
      <c r="A64" s="57" t="s">
        <v>503</v>
      </c>
      <c r="B64" s="57" t="str">
        <f>VLOOKUP($A64,Questions!$A$3:$X$333,2,0)&amp;""</f>
        <v>Do you have a documented patch management process?*</v>
      </c>
      <c r="C64" s="57" t="str">
        <f>VLOOKUP($A64,Questions!$A$3:$X$333,19,0)&amp;""</f>
        <v>In the context of the CIA triad, this question is focused on system integrity, ensuring that system changes are only executed according to policy. Additionally, it is expected that devices used to access the solution provider's systems are properly managed and secured.</v>
      </c>
      <c r="D64" s="57" t="str">
        <f>VLOOKUP($A64,Questions!$A$3:$X$333,20,0)&amp;""</f>
        <v>Follow up with a robust question set if the solution provider cannot clearly state full control of their system patching strategy. Questions about patch testing, testing environments, threat mitigation, incident remediation, etc., are appropriate.</v>
      </c>
      <c r="E64" s="241" t="s">
        <v>1454</v>
      </c>
    </row>
    <row r="65" spans="1:5" ht="49.5" customHeight="1" x14ac:dyDescent="0.3">
      <c r="A65" s="57" t="s">
        <v>504</v>
      </c>
      <c r="B65" s="57" t="str">
        <f>VLOOKUP($A65,Questions!$A$3:$X$333,2,0)&amp;""</f>
        <v>Can your organization comply with institutional policies on privacy and data protection with regard to users of institutional systems, if required?*</v>
      </c>
      <c r="C65" s="57" t="str">
        <f>VLOOKUP($A65,Questions!$A$3:$X$333,19,0)&amp;""</f>
        <v>This is a general inquiry to determine if the solution provider has reviewed the institution's policies and is committed to complying with them.</v>
      </c>
      <c r="D65" s="57" t="str">
        <f>VLOOKUP($A65,Questions!$A$3:$X$333,20,0)&amp;""</f>
        <v>If a solution provider is vague in their response, follow up with direct questions about the institution's policies and ensure the expectation of compliance is clear with the solution provider.</v>
      </c>
    </row>
    <row r="66" spans="1:5" ht="51" customHeight="1" x14ac:dyDescent="0.3">
      <c r="A66" s="57" t="s">
        <v>506</v>
      </c>
      <c r="B66" s="57" t="str">
        <f>VLOOKUP($A66,Questions!$A$3:$X$333,2,0)&amp;""</f>
        <v>Is your company subject to the institution's geographic region's laws and regulations?*</v>
      </c>
      <c r="C66" s="57" t="str">
        <f>VLOOKUP($A66,Questions!$A$3:$X$333,19,0)&amp;""</f>
        <v>This is a general inquiry to determine if the solution provider is well-versed in applicable laws and regulations that apply in the institution's region of business operation.</v>
      </c>
      <c r="D66" s="57" t="str">
        <f>VLOOKUP($A66,Questions!$A$3:$X$333,20,0)&amp;""</f>
        <v>If a solution provider is vague in their response, follow up with direct questions about doing business in your state/region/country and any laws that are pertinent to the institution.</v>
      </c>
    </row>
    <row r="67" spans="1:5" ht="70.5" customHeight="1" x14ac:dyDescent="0.3">
      <c r="A67" s="57" t="s">
        <v>510</v>
      </c>
      <c r="B67" s="57" t="str">
        <f>VLOOKUP($A67,Questions!$A$3:$X$333,2,0)&amp;""</f>
        <v>Can you accommodate encryption requirements using open standards?</v>
      </c>
      <c r="C67" s="57" t="str">
        <f>VLOOKUP($A67,Questions!$A$3:$X$333,19,0)&amp;""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67" s="57" t="str">
        <f>VLOOKUP($A67,Questions!$A$3:$X$333,20,0)&amp;""</f>
        <v>If the solution provider cannot accommodate open standards encryption requirements, direct them to NIST's Cryptographic Standards and Guidelines document &lt;https://csrc.nist.gov/Projects/Cryptographic-Standards-and-Guidelines&gt;.</v>
      </c>
    </row>
    <row r="68" spans="1:5" ht="41.4" x14ac:dyDescent="0.3">
      <c r="A68" s="57" t="s">
        <v>514</v>
      </c>
      <c r="B68" s="57" t="str">
        <f>VLOOKUP($A68,Questions!$A$3:$X$333,2,0)&amp;""</f>
        <v>Do you have a documented systems development life cycle (SDLC)?</v>
      </c>
      <c r="C68" s="57" t="str">
        <f>VLOOKUP($A68,Questions!$A$3:$X$333,19,0)&amp;""</f>
        <v>Mature solution lifecycle management can position a solution provider to sufficiently plan, implement, and manage systems that better protect institutional data.</v>
      </c>
      <c r="D68" s="57" t="str">
        <f>VLOOKUP($A68,Questions!$A$3:$X$333,20,0)&amp;""</f>
        <v>Although withdrawn by NIST, the Security Considerations in the Systems Development Life Cycle (SP 800-64r2) document is an excellent resource to provide guidance to solution providers (i.e., set expectations). Follow-up questions to SDLC use will be institution/implementation specific.</v>
      </c>
    </row>
    <row r="69" spans="1:5" ht="65.25" customHeight="1" x14ac:dyDescent="0.3">
      <c r="A69" s="57" t="s">
        <v>517</v>
      </c>
      <c r="B69" s="57" t="str">
        <f>VLOOKUP($A69,Questions!$A$3:$X$333,2,0)&amp;""</f>
        <v>Do you perform background screenings or multi-state background checks on all employees prior to their first day of work?</v>
      </c>
      <c r="C69" s="57" t="str">
        <f>VLOOKUP($A69,Questions!$A$3:$X$333,19,0)&amp;""</f>
        <v>The use of detective and preventive controls in the hiring process serves a valuable role in protecting institutional data. As these are often HR documented policies, a solution provider should have their practices well-documented and ready for review, upon request.</v>
      </c>
      <c r="D69" s="57" t="str">
        <f>VLOOKUP($A69,Questions!$A$3:$X$333,20,0)&amp;""</f>
        <v>Ask the solution provider if background checks and/or screening are conducted in any capacity, at any time during the employment period. Ask about the precautions they take to ensure the intellectual property is secured and inquire if user data is treated in an appropriate manner.</v>
      </c>
    </row>
    <row r="70" spans="1:5" ht="71.25" customHeight="1" x14ac:dyDescent="0.3">
      <c r="A70" s="57" t="s">
        <v>520</v>
      </c>
      <c r="B70" s="57" t="str">
        <f>VLOOKUP($A70,Questions!$A$3:$X$333,2,0)&amp;""</f>
        <v>Do you require new employees to fill out agreements and review policies?</v>
      </c>
      <c r="C70" s="57" t="str">
        <f>VLOOKUP($A70,Questions!$A$3:$X$333,19,0)&amp;""</f>
        <v>Setting the expectation of performance and increasing awareness of security-related responsibilities are part of these initial-hiring documents. Oftentimes these agreements and reviews are conducted during orientation for new employees.</v>
      </c>
      <c r="D70" s="57" t="str">
        <f>VLOOKUP($A70,Questions!$A$3:$X$333,20,0)&amp;""</f>
        <v>If a solution provider's practices are not clear, inquire about training requirements for employees, especially the frequency and scope of content.</v>
      </c>
    </row>
    <row r="71" spans="1:5" ht="124.2" x14ac:dyDescent="0.3">
      <c r="A71" s="57" t="s">
        <v>522</v>
      </c>
      <c r="B71" s="57" t="str">
        <f>VLOOKUP($A71,Questions!$A$3:$X$333,2,0)&amp;""</f>
        <v>Do you have a documented information security policy?</v>
      </c>
      <c r="C71" s="57" t="str">
        <f>VLOOKUP($A71,Questions!$A$3:$X$333,19,0)&amp;""</f>
        <v>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v>
      </c>
      <c r="D71" s="57" t="str">
        <f>VLOOKUP($A71,Questions!$A$3:$X$333,20,0)&amp;""</f>
        <v>If the solution provider does not have an incident response plan, point them to the NIST Computer Security Incident Handling Guide &lt;https://csrc.nist.gov/publications/detail/sp/800-61/rev-2/final&gt;.</v>
      </c>
    </row>
    <row r="72" spans="1:5" s="59" customFormat="1" ht="67.5" customHeight="1" x14ac:dyDescent="0.3">
      <c r="A72" s="57" t="s">
        <v>526</v>
      </c>
      <c r="B72" s="57" t="str">
        <f>VLOOKUP($A72,Questions!$A$3:$X$333,2,0)&amp;""</f>
        <v>Are information security principles designed into the product lifecycle?</v>
      </c>
      <c r="C72" s="57" t="str">
        <f>VLOOKUP($A72,Questions!$A$3:$X$333,19,0)&amp;""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72" s="57" t="str">
        <f>VLOOKUP($A72,Questions!$A$3:$X$333,20,0)&amp;""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73" spans="1:5" ht="62.25" customHeight="1" x14ac:dyDescent="0.3">
      <c r="A73" s="57" t="s">
        <v>531</v>
      </c>
      <c r="B73" s="57" t="str">
        <f>VLOOKUP($A73,Questions!$A$3:$X$333,2,0)&amp;""</f>
        <v>Will you comply with applicable breach notification laws?</v>
      </c>
      <c r="C73" s="57" t="str">
        <f>VLOOKUP($A73,Questions!$A$3:$X$333,19,0)&amp;""</f>
        <v>This is a general inquiry to determine if the solution provider is well-versed in applicable laws and regulations that apply in the institution's region of business operation.</v>
      </c>
      <c r="D73" s="57" t="str">
        <f>VLOOKUP($A73,Questions!$A$3:$X$333,20,0)&amp;""</f>
        <v>If a solution provider is vague in their response, follow up with direct questions about doing business in your state/region/country and any laws that are pertinent to the institution.</v>
      </c>
    </row>
    <row r="74" spans="1:5" s="59" customFormat="1" ht="70.5" customHeight="1" x14ac:dyDescent="0.25">
      <c r="A74" s="57" t="s">
        <v>535</v>
      </c>
      <c r="B74" s="57" t="str">
        <f>VLOOKUP($A74,Questions!$A$3:$X$333,2,0)&amp;""</f>
        <v>Do you have an information security awareness program?</v>
      </c>
      <c r="C74" s="57" t="str">
        <f>VLOOKUP($A74,Questions!$A$3:$X$333,19,0)&amp;""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4" s="57" t="str">
        <f>VLOOKUP($A74,Questions!$A$3:$X$333,20,0)&amp;""</f>
        <v>Follow-up inquiries for information security awareness programs will be institution/implementation specific.</v>
      </c>
      <c r="E74" s="241" t="s">
        <v>1454</v>
      </c>
    </row>
    <row r="75" spans="1:5" ht="55.2" x14ac:dyDescent="0.3">
      <c r="A75" s="57" t="s">
        <v>540</v>
      </c>
      <c r="B75" s="57" t="str">
        <f>VLOOKUP($A75,Questions!$A$3:$X$333,2,0)&amp;""</f>
        <v>Is security awareness training mandatory for all employees?</v>
      </c>
      <c r="C75" s="57" t="str">
        <f>VLOOKUP($A75,Questions!$A$3:$X$333,19,0)&amp;""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5" s="57" t="str">
        <f>VLOOKUP($A75,Questions!$A$3:$X$333,20,0)&amp;""</f>
        <v>Follow-up inquiries for information security awareness programs will be institution/implementation specific.</v>
      </c>
    </row>
    <row r="76" spans="1:5" ht="72" customHeight="1" x14ac:dyDescent="0.3">
      <c r="A76" s="57" t="s">
        <v>544</v>
      </c>
      <c r="B76" s="57" t="str">
        <f>VLOOKUP($A76,Questions!$A$3:$X$333,2,0)&amp;""</f>
        <v>Do you have process and procedure(s) documented, and currently followed, that require a review and update of the access list(s) for privileged accounts?</v>
      </c>
      <c r="C76" s="57" t="str">
        <f>VLOOKUP($A76,Questions!$A$3:$X$333,19,0)&amp;""</f>
        <v>Protecting privileged accounts is crucial to maintaining system integrity in any environment. This question is targeting privilege creep and unmanaged privileged accounts to determine if the solution provider properly manages access control in their application/system environments.</v>
      </c>
      <c r="D76" s="57" t="str">
        <f>VLOOKUP($A76,Questions!$A$3:$X$333,20,0)&amp;""</f>
        <v>Ask the solution provider to summarize their implemented policies and/or procedures.</v>
      </c>
    </row>
    <row r="77" spans="1:5" ht="72" customHeight="1" x14ac:dyDescent="0.3">
      <c r="A77" s="57" t="s">
        <v>548</v>
      </c>
      <c r="B77" s="57" t="str">
        <f>VLOOKUP($A77,Questions!$A$3:$X$333,2,0)&amp;""</f>
        <v>Do you have documented, and currently implemented, internal audit processes and procedures?</v>
      </c>
      <c r="C77" s="57" t="str">
        <f>VLOOKUP($A77,Questions!$A$3:$X$333,19,0)&amp;""</f>
        <v>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v>
      </c>
      <c r="D77" s="57" t="str">
        <f>VLOOKUP($A77,Questions!$A$3:$X$333,20,0)&amp;""</f>
        <v>Follow-up inquiries for internal audit processes and procedures will be institution/implementation specific.</v>
      </c>
    </row>
    <row r="78" spans="1:5" ht="54.75" customHeight="1" x14ac:dyDescent="0.3">
      <c r="A78" s="57" t="s">
        <v>553</v>
      </c>
      <c r="B78" s="57" t="str">
        <f>VLOOKUP($A78,Questions!$A$3:$X$333,2,0)&amp;""</f>
        <v>Does your organization have physical security controls and policies in place?</v>
      </c>
      <c r="C78" s="57" t="str">
        <f>VLOOKUP($A78,Questions!$A$3:$X$333,19,0)&amp;""</f>
        <v>This question aims to understand the physical security state of the solution provider's operating environment and whether or not physical assets are appropriately protected.</v>
      </c>
      <c r="D78" s="57" t="str">
        <f>VLOOKUP($A78,Questions!$A$3:$X$333,20,0)&amp;""</f>
        <v>Follow-up inquiries for physical security controls and policies will be institution/implementation specific.</v>
      </c>
    </row>
    <row r="79" spans="1:5" ht="17.399999999999999" x14ac:dyDescent="0.3">
      <c r="A79" s="63" t="str">
        <f>VLOOKUP(LEFT($A80,4),'Auto Responses'!$N$4:$O$38,2,0)&amp;""</f>
        <v xml:space="preserve"> Authentication, Authorization, and Account Management</v>
      </c>
      <c r="B79" s="63"/>
      <c r="C79" s="56" t="str">
        <f>Questions!$S$2</f>
        <v>Reason for Question</v>
      </c>
      <c r="D79" s="56" t="str">
        <f>Questions!$T$2</f>
        <v>Follow-Up Inquiries/Responses</v>
      </c>
    </row>
    <row r="80" spans="1:5" ht="75" customHeight="1" x14ac:dyDescent="0.3">
      <c r="A80" s="57" t="s">
        <v>216</v>
      </c>
      <c r="B80" s="57" t="str">
        <f>VLOOKUP($A80,Questions!$A$3:$X$333,2,0)&amp;""</f>
        <v>Does your solution support single sign-on (SSO) protocols for user and administrator authentication?*</v>
      </c>
      <c r="C80" s="57" t="str">
        <f>VLOOKUP($A80,Questions!$A$3:$X$333,19,0)&amp;""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0" s="57" t="str">
        <f>VLOOKUP($A80,Questions!$A$3:$X$333,20,0)&amp;""</f>
        <v>Follow-up inquiries for IAM requirements will be institution/implementation specific.</v>
      </c>
    </row>
    <row r="81" spans="1:5" ht="67.5" customHeight="1" x14ac:dyDescent="0.3">
      <c r="A81" s="57" t="s">
        <v>221</v>
      </c>
      <c r="B81" s="57" t="str">
        <f>VLOOKUP($A81,Questions!$A$3:$X$333,2,0)&amp;""</f>
        <v>For customers not using SSO, does your solution support local authentication protocols for user and administrator authentication?*</v>
      </c>
      <c r="C81" s="57" t="str">
        <f>VLOOKUP($A81,Questions!$A$3:$X$333,19,0)&amp;""</f>
        <v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v>
      </c>
      <c r="D81" s="57" t="str">
        <f>VLOOKUP($A81,Questions!$A$3:$X$333,20,0)&amp;""</f>
        <v>The content of this response may or may not have value for the type of use case on the institution. Follow-up inquiries for authentication modes will be institution/implementation specific.</v>
      </c>
    </row>
    <row r="82" spans="1:5" s="59" customFormat="1" ht="53.25" customHeight="1" x14ac:dyDescent="0.3">
      <c r="A82" s="57" t="s">
        <v>225</v>
      </c>
      <c r="B82" s="57" t="str">
        <f>VLOOKUP($A82,Questions!$A$3:$X$333,2,0)&amp;""</f>
        <v>For customers not using SSO, can you enforce password/passphrase complexity requirements (provided by the institution)?*</v>
      </c>
      <c r="C82" s="57" t="str">
        <f>VLOOKUP($A82,Questions!$A$3:$X$333,19,0)&amp;""</f>
        <v xml:space="preserve">Many institutions have a policy focused on passwords/passphrases, and this question confirms the capacity of a solution provider's solution to comply. If you will be using SSO, consider marking this question as "Do Not Score" in column J of the evaluation tab. </v>
      </c>
      <c r="D82" s="57" t="str">
        <f>VLOOKUP($A82,Questions!$A$3:$X$333,20,0)&amp;""</f>
        <v>Follow-up inquiries for password/passphrase complexity requirements will be institution/implementation specific.</v>
      </c>
    </row>
    <row r="83" spans="1:5" ht="59.25" customHeight="1" x14ac:dyDescent="0.3">
      <c r="A83" s="57" t="s">
        <v>226</v>
      </c>
      <c r="B83" s="57" t="str">
        <f>VLOOKUP($A83,Questions!$A$3:$X$333,2,0)&amp;""</f>
        <v>For customers not using SSO, does the system have password complexity or length limitations and/or restrictions?*</v>
      </c>
      <c r="C83" s="57" t="str">
        <f>VLOOKUP($A83,Questions!$A$3:$X$333,19,0)&amp;""</f>
        <v xml:space="preserve">Many institutions have a policy focused on passwords/passphrases, and this question confirms the capacity of a solution provider's solution to comply. If you will be using SSO, consider marking this question as "Do Not Score" in column J of the evaluation tab. </v>
      </c>
      <c r="D83" s="57" t="str">
        <f>VLOOKUP($A83,Questions!$A$3:$X$333,20,0)&amp;""</f>
        <v>Follow-up inquiries for password/passphrase limitations and/or restrictions will be institution/implementation specific.</v>
      </c>
    </row>
    <row r="84" spans="1:5" ht="72.75" customHeight="1" x14ac:dyDescent="0.3">
      <c r="A84" s="57" t="s">
        <v>230</v>
      </c>
      <c r="B84" s="57" t="str">
        <f>VLOOKUP($A84,Questions!$A$3:$X$333,2,0)&amp;""</f>
        <v>For customers not using SSO, do you have documented password/passphrase reset procedures that are currently implemented in the system and/or customer support?*</v>
      </c>
      <c r="C84" s="57" t="str">
        <f>VLOOKUP($A84,Questions!$A$3:$X$333,19,0)&amp;""</f>
        <v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v>
      </c>
      <c r="D84" s="57" t="str">
        <f>VLOOKUP($A84,Questions!$A$3:$X$333,20,0)&amp;""</f>
        <v>Ask the solution provider how end users will be supported. Ask for training documentation or knowledgebase content. Confirm solution provider and institution responsibilities in this support area (and others).</v>
      </c>
    </row>
    <row r="85" spans="1:5" ht="63" customHeight="1" x14ac:dyDescent="0.3">
      <c r="A85" s="57" t="s">
        <v>233</v>
      </c>
      <c r="B85" s="57" t="str">
        <f>VLOOKUP($A85,Questions!$A$3:$X$333,2,0)&amp;""</f>
        <v>Does your organization participate in InCommon or another eduGAIN-affiliated trust federation?*</v>
      </c>
      <c r="C85" s="57" t="str">
        <f>VLOOKUP($A85,Questions!$A$3:$X$333,19,0)&amp;""</f>
        <v>This question defines the solution provider's scope of federated identity practices and their willingness to embrace higher education requirements.</v>
      </c>
      <c r="D85" s="57" t="str">
        <f>VLOOKUP($A85,Questions!$A$3:$X$333,20,0)&amp;""</f>
        <v>If a solution provider indicates that a system is stand-alone and cannot integrate with community standards, follow up with maturity questions and ask about other commodity type functions or other system requirements your institution may have.</v>
      </c>
      <c r="E85" s="51"/>
    </row>
    <row r="86" spans="1:5" ht="52.5" customHeight="1" x14ac:dyDescent="0.3">
      <c r="A86" s="57" t="s">
        <v>236</v>
      </c>
      <c r="B86" s="57" t="str">
        <f>VLOOKUP($A86,Questions!$A$3:$X$333,2,0)&amp;""</f>
        <v>Are there any passwords/passphrases hard-coded into your systems or solutions?*</v>
      </c>
      <c r="C86" s="57" t="str">
        <f>VLOOKUP($A86,Questions!$A$3:$X$333,19,0)&amp;""</f>
        <v>The response to this question can reveal the use (or not) of coding best practices. If passwords/passphrases are hard-coded into systems/productions, the solution provider should provide robust details supporting why this is required.</v>
      </c>
      <c r="D86" s="57" t="str">
        <f>VLOOKUP($A86,Questions!$A$3:$X$333,20,0)&amp;""</f>
        <v>Vague responses to this question should be met with concern. Repeat the question if the first answer is insufficient. Ask pointedly to ensure the solution provider is not misunderstanding.</v>
      </c>
      <c r="E86" s="58"/>
    </row>
    <row r="87" spans="1:5" ht="55.5" customHeight="1" x14ac:dyDescent="0.3">
      <c r="A87" s="57" t="s">
        <v>239</v>
      </c>
      <c r="B87" s="57" t="str">
        <f>VLOOKUP($A87,Questions!$A$3:$X$333,2,0)&amp;""</f>
        <v>Are you storing any passwords in plaintext?*</v>
      </c>
      <c r="C87" s="57" t="str">
        <f>VLOOKUP($A87,Questions!$A$3:$X$333,19,0)&amp;""</f>
        <v>The focus of this question is confidentiality. It is a straightforward question confirming the encryption of user authentication details.</v>
      </c>
      <c r="D87" s="57" t="str">
        <f>VLOOKUP($A87,Questions!$A$3:$X$333,20,0)&amp;""</f>
        <v>Follow-up inquiries for password/passphrase encrypted storage will be institution/implementation specific.</v>
      </c>
    </row>
    <row r="88" spans="1:5" ht="58.5" customHeight="1" x14ac:dyDescent="0.3">
      <c r="A88" s="57" t="s">
        <v>242</v>
      </c>
      <c r="B88" s="57" t="str">
        <f>VLOOKUP($A88,Questions!$A$3:$X$333,2,0)&amp;""</f>
        <v>Are audit logs available that include AT LEAST all of the following: login, logout, actions performed, and source IP address?*</v>
      </c>
      <c r="C88" s="57" t="str">
        <f>VLOOKUP($A88,Questions!$A$3:$X$333,19,0)&amp;""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88" s="57" t="str">
        <f>VLOOKUP($A88,Questions!$A$3:$X$333,20,0)&amp;""</f>
        <v>If a weak response is given, it is appropriate to ask directed questions to get specific information. Ensure that questions are targeted to ensure responses will come from the appropriate party within the solution provider.</v>
      </c>
    </row>
    <row r="89" spans="1:5" ht="89.25" customHeight="1" x14ac:dyDescent="0.25">
      <c r="A89" s="57" t="s">
        <v>245</v>
      </c>
      <c r="B89" s="57" t="str">
        <f>VLOOKUP($A89,Questions!$A$3:$X$333,2,0)&amp;""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89" s="57" t="str">
        <f>VLOOKUP($A89,Questions!$A$3:$X$333,19,0)&amp;""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v>
      </c>
      <c r="D89" s="57" t="str">
        <f>VLOOKUP($A89,Questions!$A$3:$X$333,20,0)&amp;""</f>
        <v>If a weak response is given, it is appropriate to ask directed questions to get specific information. Ensure that questions are targeted to ensure responses will come from the appropriate party within the solution provider.</v>
      </c>
      <c r="E89" s="241" t="s">
        <v>1454</v>
      </c>
    </row>
    <row r="90" spans="1:5" ht="69.75" customHeight="1" x14ac:dyDescent="0.3">
      <c r="A90" s="57" t="s">
        <v>249</v>
      </c>
      <c r="B90" s="57" t="str">
        <f>VLOOKUP($A90,Questions!$A$3:$X$333,2,0)&amp;""</f>
        <v>Can you provide the institution documentation regarding the retention period for those logs, how logs are protected, and whether they are accessible to the customer (and if so, how)?*</v>
      </c>
      <c r="C90" s="57" t="str">
        <f>VLOOKUP($A90,Questions!$A$3:$X$333,19,0)&amp;""</f>
        <v>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v>
      </c>
      <c r="D90" s="57" t="str">
        <f>VLOOKUP($A90,Questions!$A$3:$X$333,20,0)&amp;""</f>
        <v>Follow-up inquiries for logging details will be institution/implementation specific.</v>
      </c>
    </row>
    <row r="91" spans="1:5" ht="78" customHeight="1" x14ac:dyDescent="0.3">
      <c r="A91" s="57" t="s">
        <v>253</v>
      </c>
      <c r="B91" s="57" t="str">
        <f>VLOOKUP($A91,Questions!$A$3:$X$333,2,0)&amp;""</f>
        <v>For customers not using SSO, does your application support integration with other authentication and authorization systems?</v>
      </c>
      <c r="C91" s="57" t="str">
        <f>VLOOKUP($A91,Questions!$A$3:$X$333,19,0)&amp;""</f>
        <v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v>
      </c>
      <c r="D91" s="57" t="str">
        <f>VLOOKUP($A91,Questions!$A$3:$X$333,20,0)&amp;""</f>
        <v>If a solution provider indicates that a system is stand-alone and cannot integrate with the institution's infrastructure, follow up with maturity questions and ask about other commodity type functions or other system requirements your institution may have.</v>
      </c>
    </row>
    <row r="92" spans="1:5" ht="46.5" customHeight="1" x14ac:dyDescent="0.3">
      <c r="A92" s="57" t="s">
        <v>255</v>
      </c>
      <c r="B92" s="57" t="str">
        <f>VLOOKUP($A92,Questions!$A$3:$X$333,2,0)&amp;""</f>
        <v>Do you allow the customer to specify attribute mappings for any needed information beyond a user identifier? (e.g., Reference eduPerson, ePPA/ePPN/ePE)</v>
      </c>
      <c r="C92" s="57" t="str">
        <f>VLOOKUP($A92,Questions!$A$3:$X$333,19,0)&amp;""</f>
        <v>This questions allows an institution to know solution provider system limitations and to help them gauge the resources (that may be needed to implement) required to successfully integrate the solution with institution systems.</v>
      </c>
      <c r="D92" s="57" t="str">
        <f>VLOOKUP($A92,Questions!$A$3:$X$333,20,0)&amp;""</f>
        <v>Follow-up inquiries for attribute mapping requirements will be institution/implementation specific.</v>
      </c>
    </row>
    <row r="93" spans="1:5" ht="55.2" x14ac:dyDescent="0.3">
      <c r="A93" s="57" t="s">
        <v>260</v>
      </c>
      <c r="B93" s="57" t="str">
        <f>VLOOKUP($A93,Questions!$A$3:$X$333,2,0)&amp;""</f>
        <v>For customers not using SSO, does your application support directory integration for user accounts?</v>
      </c>
      <c r="C93" s="57" t="str">
        <f>VLOOKUP($A93,Questions!$A$3:$X$333,19,0)&amp;""</f>
        <v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v>
      </c>
      <c r="D93" s="57" t="str">
        <f>VLOOKUP($A93,Questions!$A$3:$X$333,20,0)&amp;""</f>
        <v>Follow-up inquiries for system authentication will be unique to your institution (e.g., policy, infrastructure, etc.).</v>
      </c>
    </row>
    <row r="94" spans="1:5" ht="55.2" x14ac:dyDescent="0.3">
      <c r="A94" s="57" t="s">
        <v>261</v>
      </c>
      <c r="B94" s="57" t="str">
        <f>VLOOKUP($A94,Questions!$A$3:$X$333,2,0)&amp;""</f>
        <v>Does your solution support any of the following web SSO standards: SAML2 (with redirect flow), OIDC, CAS, or other?</v>
      </c>
      <c r="C94" s="57" t="str">
        <f>VLOOKUP($A94,Questions!$A$3:$X$333,19,0)&amp;""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57" t="str">
        <f>VLOOKUP($A94,Questions!$A$3:$X$333,20,0)&amp;""</f>
        <v>Follow-up inquiries for IAM requirements will be institution/implementation specific.</v>
      </c>
    </row>
    <row r="95" spans="1:5" ht="57" customHeight="1" x14ac:dyDescent="0.3">
      <c r="A95" s="57" t="s">
        <v>265</v>
      </c>
      <c r="B95" s="57" t="str">
        <f>VLOOKUP($A95,Questions!$A$3:$X$333,2,0)&amp;""</f>
        <v>Do you support differentiation between email address and user identifier?</v>
      </c>
      <c r="C95" s="57" t="str">
        <f>VLOOKUP($A95,Questions!$A$3:$X$333,19,0)&amp;""</f>
        <v>This questions allows an institution to know solution provider system limitations and to help them gauge the resources (that may be needed to implement) required to successfully integrate the solution with institution systems.</v>
      </c>
      <c r="D95" s="57" t="str">
        <f>VLOOKUP($A95,Questions!$A$3:$X$333,20,0)&amp;""</f>
        <v>Follow-up inquiries for identifier requirements will be institution/implementation specific.</v>
      </c>
    </row>
    <row r="96" spans="1:5" ht="67.5" customHeight="1" x14ac:dyDescent="0.3">
      <c r="A96" s="57" t="s">
        <v>268</v>
      </c>
      <c r="B96" s="57" t="str">
        <f>VLOOKUP($A96,Questions!$A$3:$X$333,2,0)&amp;""</f>
        <v>For customers not using SSO, does your application and/or user frontend/portal support multifactor authentication (e.g., Duo, Google Authenticator, OTP, etc.)?</v>
      </c>
      <c r="C96" s="57" t="str">
        <f>VLOOKUP($A96,Questions!$A$3:$X$333,19,0)&amp;""</f>
        <v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v>
      </c>
      <c r="D96" s="57" t="str">
        <f>VLOOKUP($A96,Questions!$A$3:$X$333,20,0)&amp;""</f>
        <v>Ask the solution provider about hardware and software options, future roadmap for implementations and support, etc.</v>
      </c>
    </row>
    <row r="97" spans="1:5" ht="27.6" x14ac:dyDescent="0.3">
      <c r="A97" s="57" t="s">
        <v>271</v>
      </c>
      <c r="B97" s="57" t="str">
        <f>VLOOKUP($A97,Questions!$A$3:$X$333,2,0)&amp;""</f>
        <v>Does your application automatically lock the session or log out an account after a period of inactivity?</v>
      </c>
      <c r="C97" s="57" t="str">
        <f>VLOOKUP($A97,Questions!$A$3:$X$333,19,0)&amp;""</f>
        <v>This is a question to ensure account integrity and institutional data confidentiality.</v>
      </c>
      <c r="D97" s="57" t="str">
        <f>VLOOKUP($A97,Questions!$A$3:$X$333,20,0)&amp;""</f>
        <v>Follow-up inquiries for inactivity protections will be institution/implementation specific.</v>
      </c>
    </row>
    <row r="98" spans="1:5" ht="35.25" customHeight="1" x14ac:dyDescent="0.3">
      <c r="A98" s="57" t="s">
        <v>239</v>
      </c>
      <c r="B98" s="57" t="str">
        <f>VLOOKUP($A98,Questions!$A$3:$X$333,2,0)&amp;""</f>
        <v>Are you storing any passwords in plaintext?*</v>
      </c>
      <c r="C98" s="57" t="str">
        <f>VLOOKUP($A98,Questions!$A$3:$X$333,19,0)&amp;""</f>
        <v>The focus of this question is confidentiality. It is a straightforward question confirming the encryption of user authentication details.</v>
      </c>
      <c r="D98" s="57" t="str">
        <f>VLOOKUP($A98,Questions!$A$3:$X$333,20,0)&amp;""</f>
        <v>Follow-up inquiries for password/passphrase encrypted storage will be institution/implementation specific.</v>
      </c>
    </row>
    <row r="99" spans="1:5" ht="72.75" customHeight="1" x14ac:dyDescent="0.3">
      <c r="A99" s="57" t="s">
        <v>242</v>
      </c>
      <c r="B99" s="57" t="str">
        <f>VLOOKUP($A99,Questions!$A$3:$X$333,2,0)&amp;""</f>
        <v>Are audit logs available that include AT LEAST all of the following: login, logout, actions performed, and source IP address?*</v>
      </c>
      <c r="C99" s="57" t="str">
        <f>VLOOKUP($A99,Questions!$A$3:$X$333,19,0)&amp;""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99" s="57" t="str">
        <f>VLOOKUP($A99,Questions!$A$3:$X$333,20,0)&amp;""</f>
        <v>If a weak response is given, it is appropriate to ask directed questions to get specific information. Ensure that questions are targeted to ensure responses will come from the appropriate party within the solution provider.</v>
      </c>
    </row>
    <row r="100" spans="1:5" ht="92.25" customHeight="1" x14ac:dyDescent="0.3">
      <c r="A100" s="57" t="s">
        <v>245</v>
      </c>
      <c r="B100" s="57" t="str">
        <f>VLOOKUP($A100,Questions!$A$3:$X$333,2,0)&amp;""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00" s="57" t="str">
        <f>VLOOKUP($A100,Questions!$A$3:$X$333,19,0)&amp;""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v>
      </c>
      <c r="D100" s="57" t="str">
        <f>VLOOKUP($A100,Questions!$A$3:$X$333,20,0)&amp;""</f>
        <v>If a weak response is given, it is appropriate to ask directed questions to get specific information. Ensure that questions are targeted to ensure responses will come from the appropriate party within the solution provider.</v>
      </c>
    </row>
    <row r="101" spans="1:5" ht="65.25" customHeight="1" x14ac:dyDescent="0.3">
      <c r="A101" s="57" t="s">
        <v>249</v>
      </c>
      <c r="B101" s="57" t="str">
        <f>VLOOKUP($A101,Questions!$A$3:$X$333,2,0)&amp;""</f>
        <v>Can you provide the institution documentation regarding the retention period for those logs, how logs are protected, and whether they are accessible to the customer (and if so, how)?*</v>
      </c>
      <c r="C101" s="57" t="str">
        <f>VLOOKUP($A101,Questions!$A$3:$X$333,19,0)&amp;""</f>
        <v>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v>
      </c>
      <c r="D101" s="57" t="str">
        <f>VLOOKUP($A101,Questions!$A$3:$X$333,20,0)&amp;""</f>
        <v>Follow-up inquiries for logging details will be institution/implementation specific.</v>
      </c>
    </row>
    <row r="102" spans="1:5" ht="77.25" customHeight="1" x14ac:dyDescent="0.3">
      <c r="A102" s="57" t="s">
        <v>253</v>
      </c>
      <c r="B102" s="57" t="str">
        <f>VLOOKUP($A102,Questions!$A$3:$X$333,2,0)&amp;""</f>
        <v>For customers not using SSO, does your application support integration with other authentication and authorization systems?</v>
      </c>
      <c r="C102" s="57" t="str">
        <f>VLOOKUP($A102,Questions!$A$3:$X$333,19,0)&amp;""</f>
        <v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v>
      </c>
      <c r="D102" s="57" t="str">
        <f>VLOOKUP($A102,Questions!$A$3:$X$333,20,0)&amp;""</f>
        <v>If a solution provider indicates that a system is stand-alone and cannot integrate with the institution's infrastructure, follow up with maturity questions and ask about other commodity type functions or other system requirements your institution may have.</v>
      </c>
    </row>
    <row r="103" spans="1:5" ht="57.75" customHeight="1" x14ac:dyDescent="0.3">
      <c r="A103" s="57" t="s">
        <v>255</v>
      </c>
      <c r="B103" s="57" t="str">
        <f>VLOOKUP($A103,Questions!$A$3:$X$333,2,0)&amp;""</f>
        <v>Do you allow the customer to specify attribute mappings for any needed information beyond a user identifier? (e.g., Reference eduPerson, ePPA/ePPN/ePE)</v>
      </c>
      <c r="C103" s="57" t="str">
        <f>VLOOKUP($A103,Questions!$A$3:$X$333,19,0)&amp;""</f>
        <v>This questions allows an institution to know solution provider system limitations and to help them gauge the resources (that may be needed to implement) required to successfully integrate the solution with institution systems.</v>
      </c>
      <c r="D103" s="57" t="str">
        <f>VLOOKUP($A103,Questions!$A$3:$X$333,20,0)&amp;""</f>
        <v>Follow-up inquiries for attribute mapping requirements will be institution/implementation specific.</v>
      </c>
      <c r="E103" s="51"/>
    </row>
    <row r="104" spans="1:5" ht="74.25" customHeight="1" x14ac:dyDescent="0.3">
      <c r="A104" s="57" t="s">
        <v>260</v>
      </c>
      <c r="B104" s="57" t="str">
        <f>VLOOKUP($A104,Questions!$A$3:$X$333,2,0)&amp;""</f>
        <v>For customers not using SSO, does your application support directory integration for user accounts?</v>
      </c>
      <c r="C104" s="57" t="str">
        <f>VLOOKUP($A104,Questions!$A$3:$X$333,19,0)&amp;""</f>
        <v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v>
      </c>
      <c r="D104" s="57" t="str">
        <f>VLOOKUP($A104,Questions!$A$3:$X$333,20,0)&amp;""</f>
        <v>Follow-up inquiries for system authentication will be unique to your institution (e.g., policy, infrastructure, etc.).</v>
      </c>
    </row>
    <row r="105" spans="1:5" ht="67.5" customHeight="1" x14ac:dyDescent="0.3">
      <c r="A105" s="57" t="s">
        <v>261</v>
      </c>
      <c r="B105" s="57" t="str">
        <f>VLOOKUP($A105,Questions!$A$3:$X$333,2,0)&amp;""</f>
        <v>Does your solution support any of the following web SSO standards: SAML2 (with redirect flow), OIDC, CAS, or other?</v>
      </c>
      <c r="C105" s="57" t="str">
        <f>VLOOKUP($A105,Questions!$A$3:$X$333,19,0)&amp;""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105" s="57" t="str">
        <f>VLOOKUP($A105,Questions!$A$3:$X$333,20,0)&amp;""</f>
        <v>Follow-up inquiries for IAM requirements will be institution/implementation specific.</v>
      </c>
    </row>
    <row r="106" spans="1:5" ht="52.5" customHeight="1" x14ac:dyDescent="0.3">
      <c r="A106" s="57" t="s">
        <v>265</v>
      </c>
      <c r="B106" s="57" t="str">
        <f>VLOOKUP($A106,Questions!$A$3:$X$333,2,0)&amp;""</f>
        <v>Do you support differentiation between email address and user identifier?</v>
      </c>
      <c r="C106" s="57" t="str">
        <f>VLOOKUP($A106,Questions!$A$3:$X$333,19,0)&amp;""</f>
        <v>This questions allows an institution to know solution provider system limitations and to help them gauge the resources (that may be needed to implement) required to successfully integrate the solution with institution systems.</v>
      </c>
      <c r="D106" s="57" t="str">
        <f>VLOOKUP($A106,Questions!$A$3:$X$333,20,0)&amp;""</f>
        <v>Follow-up inquiries for identifier requirements will be institution/implementation specific.</v>
      </c>
    </row>
    <row r="107" spans="1:5" ht="63.75" customHeight="1" x14ac:dyDescent="0.3">
      <c r="A107" s="57" t="s">
        <v>268</v>
      </c>
      <c r="B107" s="57" t="str">
        <f>VLOOKUP($A107,Questions!$A$3:$X$333,2,0)&amp;""</f>
        <v>For customers not using SSO, does your application and/or user frontend/portal support multifactor authentication (e.g., Duo, Google Authenticator, OTP, etc.)?</v>
      </c>
      <c r="C107" s="57" t="str">
        <f>VLOOKUP($A107,Questions!$A$3:$X$333,19,0)&amp;""</f>
        <v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v>
      </c>
      <c r="D107" s="57" t="str">
        <f>VLOOKUP($A107,Questions!$A$3:$X$333,20,0)&amp;""</f>
        <v>Ask the solution provider about hardware and software options, future roadmap for implementations and support, etc.</v>
      </c>
    </row>
    <row r="108" spans="1:5" ht="36.75" customHeight="1" x14ac:dyDescent="0.25">
      <c r="A108" s="57" t="s">
        <v>271</v>
      </c>
      <c r="B108" s="57" t="str">
        <f>VLOOKUP($A108,Questions!$A$3:$X$333,2,0)&amp;""</f>
        <v>Does your application automatically lock the session or log out an account after a period of inactivity?</v>
      </c>
      <c r="C108" s="57" t="str">
        <f>VLOOKUP($A108,Questions!$A$3:$X$333,19,0)&amp;""</f>
        <v>This is a question to ensure account integrity and institutional data confidentiality.</v>
      </c>
      <c r="D108" s="57" t="str">
        <f>VLOOKUP($A108,Questions!$A$3:$X$333,20,0)&amp;""</f>
        <v>Follow-up inquiries for inactivity protections will be institution/implementation specific.</v>
      </c>
      <c r="E108" s="241" t="s">
        <v>1454</v>
      </c>
    </row>
    <row r="109" spans="1:5" ht="17.399999999999999" x14ac:dyDescent="0.3">
      <c r="A109" s="63" t="str">
        <f>VLOOKUP(LEFT($A110,4),'Auto Responses'!$N$4:$O$38,2,0)&amp;""</f>
        <v xml:space="preserve"> Data</v>
      </c>
      <c r="B109" s="63"/>
      <c r="C109" s="56" t="str">
        <f>Questions!$S$2</f>
        <v>Reason for Question</v>
      </c>
      <c r="D109" s="56" t="str">
        <f>Questions!$T$2</f>
        <v>Follow-Up Inquiries/Responses</v>
      </c>
    </row>
    <row r="110" spans="1:5" ht="51" customHeight="1" x14ac:dyDescent="0.3">
      <c r="A110" s="57" t="s">
        <v>325</v>
      </c>
      <c r="B110" s="57" t="str">
        <f>VLOOKUP($A110,Questions!$A$3:$X$333,2,0)&amp;""</f>
        <v>Will the institution's data be stored on any devices (database servers, file servers, SAN, NAS, etc.) configured with non-RFC 1918/4193 (i.e., publicly routable) IP addresses?*</v>
      </c>
      <c r="C110" s="57" t="str">
        <f>VLOOKUP($A110,Questions!$A$3:$X$333,19,0)&amp;""</f>
        <v>Systems that are directly exposed to public internet resources are at greater risk than those that are not. Understanding the requirements for this configuration is important, particularly when assessing compensating controls.</v>
      </c>
      <c r="D110" s="57" t="str">
        <f>VLOOKUP($A110,Questions!$A$3:$X$333,20,0)&amp;""</f>
        <v>Ask the solution provider about its infrastructure and if there is a solution that eliminates the need for this environment.</v>
      </c>
    </row>
    <row r="111" spans="1:5" ht="57" customHeight="1" x14ac:dyDescent="0.3">
      <c r="A111" s="57" t="s">
        <v>329</v>
      </c>
      <c r="B111" s="57" t="str">
        <f>VLOOKUP($A111,Questions!$A$3:$X$333,2,0)&amp;""</f>
        <v>Is the transport of sensitive data encrypted using security protocols/algorithms (e.g., system-to-client)?*</v>
      </c>
      <c r="C111" s="57" t="str">
        <f>VLOOKUP($A111,Questions!$A$3:$X$333,19,0)&amp;""</f>
        <v>The need for encryption in transport is unique to your institution's implementation of a system. In particular, the data flow between the system and the end users of the solution.</v>
      </c>
      <c r="D111" s="57" t="str">
        <f>VLOOKUP($A111,Questions!$A$3:$X$333,20,0)&amp;""</f>
        <v>Follow-up inquiries for data encryption between the system and end-users will be institution/implementation specific.</v>
      </c>
    </row>
    <row r="112" spans="1:5" ht="75.75" customHeight="1" x14ac:dyDescent="0.3">
      <c r="A112" s="57" t="s">
        <v>332</v>
      </c>
      <c r="B112" s="57" t="str">
        <f>VLOOKUP($A112,Questions!$A$3:$X$333,2,0)&amp;""</f>
        <v>Is the storage of sensitive data encrypted using security protocols/algorithms (e.g., disk encryption, at-rest, files, and within a running database)?*</v>
      </c>
      <c r="C112" s="57" t="str">
        <f>VLOOKUP($A112,Questions!$A$3:$X$333,19,0)&amp;""</f>
        <v>The need for encryption at-rest is unique to your institution's implementation of a system. In particular, system components, architectures, and data flows all factor into the need for this control.</v>
      </c>
      <c r="D112" s="57" t="str">
        <f>VLOOKUP($A112,Questions!$A$3:$X$333,20,0)&amp;""</f>
        <v>Follow-up inquiries for data encryption at-rest will be institution/implementation specific.</v>
      </c>
    </row>
    <row r="113" spans="1:5" ht="68.25" customHeight="1" x14ac:dyDescent="0.3">
      <c r="A113" s="57" t="s">
        <v>336</v>
      </c>
      <c r="B113" s="57" t="str">
        <f>VLOOKUP($A113,Questions!$A$3:$X$333,2,0)&amp;""</f>
        <v>Do all cryptographic modules in use in your solution conform to the Federal Information Processing Standards (FIPS PUB 140-2 or 140-3)?*</v>
      </c>
      <c r="C113" s="57" t="str">
        <f>VLOOKUP($A113,Questions!$A$3:$X$333,19,0)&amp;""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113" s="57" t="str">
        <f>VLOOKUP($A113,Questions!$A$3:$X$333,20,0)&amp;""</f>
        <v>If the solution provider cannot accommodate open standards encryption requirements, direct them to NIST's Cryptographic Standards and Guidelines document &lt;https://csrc.nist.gov/Projects/Cryptographic-Standards-and-Guidelines&gt;.</v>
      </c>
      <c r="E113" s="51"/>
    </row>
    <row r="114" spans="1:5" ht="54" customHeight="1" x14ac:dyDescent="0.3">
      <c r="A114" s="57" t="s">
        <v>341</v>
      </c>
      <c r="B114" s="57" t="str">
        <f>VLOOKUP($A114,Questions!$A$3:$X$333,2,0)&amp;""</f>
        <v>Will the institution's data be available within the system for a period of time at the completion of this contract?*</v>
      </c>
      <c r="C114" s="57" t="str">
        <f>VLOOKUP($A114,Questions!$A$3:$X$333,19,0)&amp;""</f>
        <v>When cancelling a solution, an institution will commonly want all institutional data that was provided to a solution provider. This questions allows the solution provider to state their general practices when a customer leaves their environment.</v>
      </c>
      <c r="D114" s="57" t="str">
        <f>VLOOKUP($A114,Questions!$A$3:$X$333,20,0)&amp;""</f>
        <v>A solution provider's response should be clear and concise. Be wary of vague responses to this questions and inquire about export specifics, as needed.</v>
      </c>
      <c r="E114" s="58"/>
    </row>
    <row r="115" spans="1:5" ht="51" customHeight="1" x14ac:dyDescent="0.3">
      <c r="A115" s="57" t="s">
        <v>344</v>
      </c>
      <c r="B115" s="57" t="str">
        <f>VLOOKUP($A115,Questions!$A$3:$X$333,2,0)&amp;""</f>
        <v>Are ownership rights to all data, inputs, outputs, and metadata retained even through a provider acquisition or bankruptcy event?*</v>
      </c>
      <c r="C115" s="57" t="str">
        <f>VLOOKUP($A115,Questions!$A$3:$X$333,19,0)&amp;""</f>
        <v>This question clarifies the position of the institution in the case of acquisition or bankruptcy. Expect clear responses to this question. If they are vague, be sure to follow up based on institutional counsel guidance.</v>
      </c>
      <c r="D115" s="57" t="str">
        <f>VLOOKUP($A115,Questions!$A$3:$X$333,20,0)&amp;""</f>
        <v>If a solution provider's response is unsatisfactory, engage institutional counsel to appropriately address any ownership concerns.</v>
      </c>
    </row>
    <row r="116" spans="1:5" ht="61.5" customHeight="1" x14ac:dyDescent="0.3">
      <c r="A116" s="57" t="s">
        <v>346</v>
      </c>
      <c r="B116" s="57" t="str">
        <f>VLOOKUP($A116,Questions!$A$3:$X$333,2,0)&amp;""</f>
        <v>Do backups containing the institution's data ever leave the institution's data zone either physically or via network routing?*</v>
      </c>
      <c r="C116" s="57" t="str">
        <f>VLOOKUP($A116,Questions!$A$3:$X$333,19,0)&amp;""</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16" s="57" t="str">
        <f>VLOOKUP($A116,Questions!$A$3:$X$333,20,0)&amp;""</f>
        <v>Follow-up inquiries for data backup procedures/practices will be institution/implementation specific.</v>
      </c>
    </row>
    <row r="117" spans="1:5" ht="66.75" customHeight="1" x14ac:dyDescent="0.3">
      <c r="A117" s="57" t="s">
        <v>348</v>
      </c>
      <c r="B117" s="57" t="str">
        <f>VLOOKUP($A117,Questions!$A$3:$X$333,2,0)&amp;""</f>
        <v>Is media used for long-term retention of business data and archival purposes stored in a secure, environmentally protected area?*</v>
      </c>
      <c r="C117" s="57" t="str">
        <f>VLOOKUP($A117,Questions!$A$3:$X$333,19,0)&amp;""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17" s="57" t="str">
        <f>VLOOKUP($A117,Questions!$A$3:$X$333,20,0)&amp;""</f>
        <v>Vague responses to this question should be investigated further. Ask for additional documentation and verify that procedure (and possibly training) exists to ensure proper media handling activity.</v>
      </c>
    </row>
    <row r="118" spans="1:5" ht="86.25" customHeight="1" x14ac:dyDescent="0.3">
      <c r="A118" s="57" t="s">
        <v>352</v>
      </c>
      <c r="B118" s="57" t="str">
        <f>VLOOKUP($A118,Questions!$A$3:$X$333,2,0)&amp;""</f>
        <v>At the completion of this contract, will data be returned to the institution and/or deleted from all your systems and archives?</v>
      </c>
      <c r="C118" s="57" t="str">
        <f>VLOOKUP($A118,Questions!$A$3:$X$333,19,0)&amp;""</f>
        <v>When cancelling a solution, an institution will commonly want all institutional data that was provided to a solution provider. This question allows the solution provider to state its general practices when a customer leaves its environment.</v>
      </c>
      <c r="D118" s="57" t="str">
        <f>VLOOKUP($A118,Questions!$A$3:$X$333,20,0)&amp;""</f>
        <v>A solution provider's response should be clear and concise. Be wary of vague responses to this questions and inquire about export specifics, as needed.</v>
      </c>
    </row>
    <row r="119" spans="1:5" ht="41.4" x14ac:dyDescent="0.3">
      <c r="A119" s="57" t="s">
        <v>355</v>
      </c>
      <c r="B119" s="57" t="str">
        <f>VLOOKUP($A119,Questions!$A$3:$X$333,2,0)&amp;""</f>
        <v>Can the institution extract a full or partial backup of data?</v>
      </c>
      <c r="C119" s="57" t="str">
        <f>VLOOKUP($A119,Questions!$A$3:$X$333,19,0)&amp;""</f>
        <v>When cancelling a solution, an institution will commonly want all institutional data that was provided to a solution provider. The solution provider's response should verify if the institution can extract data or if it is a manual extraction by solution provider staff.</v>
      </c>
      <c r="D119" s="57" t="str">
        <f>VLOOKUP($A119,Questions!$A$3:$X$333,20,0)&amp;""</f>
        <v>A solution provider's response should be clear and concise. Be wary of vague responses to this questions and inquire about export specifics, as needed.</v>
      </c>
    </row>
    <row r="120" spans="1:5" ht="49.5" customHeight="1" x14ac:dyDescent="0.3">
      <c r="A120" s="57" t="s">
        <v>359</v>
      </c>
      <c r="B120" s="57" t="str">
        <f>VLOOKUP($A120,Questions!$A$3:$X$333,2,0)&amp;""</f>
        <v>Do current backups include all operating system software, utilities, security software, application software, and data files necessary for recovery?</v>
      </c>
      <c r="C120" s="57" t="str">
        <f>VLOOKUP($A120,Questions!$A$3:$X$333,19,0)&amp;""</f>
        <v>The purpose of this question is to define the scope of backup operations and the scope at which a solution provider may readily recover when backup restoration is required.</v>
      </c>
      <c r="D120" s="57" t="str">
        <f>VLOOKUP($A120,Questions!$A$3:$X$333,20,0)&amp;""</f>
        <v>Follow-up inquiries for backup content scope will be institution/implementation specific.</v>
      </c>
    </row>
    <row r="121" spans="1:5" ht="64.5" customHeight="1" x14ac:dyDescent="0.3">
      <c r="A121" s="57" t="s">
        <v>363</v>
      </c>
      <c r="B121" s="57" t="str">
        <f>VLOOKUP($A121,Questions!$A$3:$X$333,2,0)&amp;""</f>
        <v>Are you performing off-site backups (i.e., digitally moved off site)?</v>
      </c>
      <c r="C121" s="57" t="str">
        <f>VLOOKUP($A121,Questions!$A$3:$X$333,19,0)&amp;""</f>
        <v>When data is moved digitally (e.g., cloud provider, solution provider-owned facility, etc.) off-site, the policies and implemented procedures are important to know. The protections implemented to prevent compromise will be technical in nature and should be well-documented.</v>
      </c>
      <c r="D121" s="57" t="str">
        <f>VLOOKUP($A121,Questions!$A$3:$X$333,20,0)&amp;""</f>
        <v>Follow-up inquiries for off-site, digital backups will be institution/implementation specific.</v>
      </c>
    </row>
    <row r="122" spans="1:5" ht="60.75" customHeight="1" x14ac:dyDescent="0.3">
      <c r="A122" s="57" t="s">
        <v>369</v>
      </c>
      <c r="B122" s="57" t="str">
        <f>VLOOKUP($A122,Questions!$A$3:$X$333,2,0)&amp;""</f>
        <v>Are physical backups taken off-site (i.e., physically moved off site)?</v>
      </c>
      <c r="C122" s="57" t="str">
        <f>VLOOKUP($A122,Questions!$A$3:$X$333,19,0)&amp;""</f>
        <v>When data is moved physically (e.g., print, etc.) off-site, the policies and implemented procedures are important to know. Unencrypted data taken outside secured areas introduces unnecessary risks.</v>
      </c>
      <c r="D122" s="57" t="str">
        <f>VLOOKUP($A122,Questions!$A$3:$X$333,20,0)&amp;""</f>
        <v>Follow-up inquiries for off-site, physical backups will be institution/implementation specific.</v>
      </c>
    </row>
    <row r="123" spans="1:5" ht="58.5" customHeight="1" x14ac:dyDescent="0.3">
      <c r="A123" s="57" t="s">
        <v>373</v>
      </c>
      <c r="B123" s="57" t="str">
        <f>VLOOKUP($A123,Questions!$A$3:$X$333,2,0)&amp;""</f>
        <v>Are data backups encrypted?</v>
      </c>
      <c r="C123" s="57" t="str">
        <f>VLOOKUP($A123,Questions!$A$3:$X$333,19,0)&amp;""</f>
        <v>The need for encryption at rest (for backups) is unique to your institution's implementation of a system. In particular, system components, architectures, and data flows all factor into the need for this control.</v>
      </c>
      <c r="D123" s="57" t="str">
        <f>VLOOKUP($A123,Questions!$A$3:$X$333,20,0)&amp;""</f>
        <v>Follow-up inquiries for data backup encryption at-rest will be institution/implementation specific.</v>
      </c>
    </row>
    <row r="124" spans="1:5" ht="55.2" x14ac:dyDescent="0.3">
      <c r="A124" s="57" t="s">
        <v>374</v>
      </c>
      <c r="B124" s="57" t="str">
        <f>VLOOKUP($A124,Questions!$A$3:$X$333,2,0)&amp;""</f>
        <v>Do you have a media handling process that is documented and currently implemented that meets established business needs and regulatory requirements, including end-of-life, repurposing, and data-sanitization procedures?</v>
      </c>
      <c r="C124" s="57" t="str">
        <f>VLOOKUP($A124,Questions!$A$3:$X$333,19,0)&amp;""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24" s="57" t="str">
        <f>VLOOKUP($A124,Questions!$A$3:$X$333,20,0)&amp;""</f>
        <v>Vague responses to this question should be investigated further. Ask for additional documentation and verify that procedure (and possibly training) exists to ensure proper media handling activity.</v>
      </c>
    </row>
    <row r="125" spans="1:5" ht="66.75" customHeight="1" x14ac:dyDescent="0.25">
      <c r="A125" s="57" t="s">
        <v>375</v>
      </c>
      <c r="B125" s="57" t="str">
        <f>VLOOKUP($A125,Questions!$A$3:$X$333,2,0)&amp;""</f>
        <v>Does the process described in DATA-15 adhere to DoD 5220.22-M and/or NIST SP 800-88 standards?</v>
      </c>
      <c r="C125" s="57" t="str">
        <f>VLOOKUP($A125,Questions!$A$3:$X$333,19,0)&amp;""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25" s="57" t="str">
        <f>VLOOKUP($A125,Questions!$A$3:$X$333,20,0)&amp;""</f>
        <v>Follow-up inquiries for DoD 5220.22-M and/or SP800-88 standards will be institution specific.</v>
      </c>
      <c r="E125" s="241" t="s">
        <v>1454</v>
      </c>
    </row>
    <row r="126" spans="1:5" ht="41.4" x14ac:dyDescent="0.3">
      <c r="A126" s="57" t="s">
        <v>379</v>
      </c>
      <c r="B126" s="57" t="str">
        <f>VLOOKUP($A126,Questions!$A$3:$X$333,2,0)&amp;""</f>
        <v>Does your staff (or third party) have access to institutional data (e.g., financial, PHI, or other sensitive information) through any means?</v>
      </c>
      <c r="C126" s="57" t="str">
        <f>VLOOKUP($A126,Questions!$A$3:$X$333,19,0)&amp;""</f>
        <v>Confidentiality is the focus of this question. Based on the capabilities of solution provider administrators, the institution may require additional safeguards to protect the confidentiality of data stored by or shared with a solution provider (e.g., additional layer of encryption, etc.).</v>
      </c>
      <c r="D126" s="57" t="str">
        <f>VLOOKUP($A126,Questions!$A$3:$X$333,20,0)&amp;""</f>
        <v>If institutional data is visible by the solution provider's system administrators, follow up with the solution provider to understand the scope of visibility, process/procedure that administrators follow, and use cases when administrators are allowed to access (view) institutional data.</v>
      </c>
    </row>
    <row r="127" spans="1:5" ht="143.25" customHeight="1" x14ac:dyDescent="0.3">
      <c r="A127" s="57" t="s">
        <v>385</v>
      </c>
      <c r="B127" s="57" t="str">
        <f>VLOOKUP($A127,Questions!$A$3:$X$333,2,0)&amp;""</f>
        <v>Do you have a documented and currently implemented strategy for securing employee workstations when they work remotely (i.e., not in a trusted computing environment)?</v>
      </c>
      <c r="C127" s="57" t="str">
        <f>VLOOKUP($A127,Questions!$A$3:$X$333,19,0)&amp;""</f>
        <v>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v>
      </c>
      <c r="D127" s="57" t="str">
        <f>VLOOKUP($A127,Questions!$A$3:$X$333,20,0)&amp;""</f>
        <v>Vague responses to this question should be investigated further. Ask for additional documentation and verify that procedure (and possibly training) exists to ensure proper customer data handling activity.</v>
      </c>
    </row>
    <row r="128" spans="1:5" ht="91.5" customHeight="1" x14ac:dyDescent="0.3">
      <c r="A128" s="57" t="s">
        <v>387</v>
      </c>
      <c r="B128" s="57" t="str">
        <f>VLOOKUP($A128,Questions!$A$3:$X$333,2,0)&amp;""</f>
        <v>Does the environment provide for dedicated single-tenant capabilities? If not, describe how your solution or environment separates data from different customers (e.g., logically, physically, single tenancy, multi-tenancy).</v>
      </c>
      <c r="C128" s="57" t="str">
        <f>VLOOKUP($A128,Questions!$A$3:$X$333,19,0)&amp;""</f>
        <v>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v>
      </c>
      <c r="D128" s="57" t="str">
        <f>VLOOKUP($A128,Questions!$A$3:$X$333,20,0)&amp;""</f>
        <v>Follow-up inquiries for dedicated single-tenant capabilities will be institution/implementation specific.</v>
      </c>
    </row>
    <row r="129" spans="1:5" ht="73.5" customHeight="1" x14ac:dyDescent="0.3">
      <c r="A129" s="57" t="s">
        <v>392</v>
      </c>
      <c r="B129" s="57" t="str">
        <f>VLOOKUP($A129,Questions!$A$3:$X$333,2,0)&amp;""</f>
        <v>Are ownership rights to all data, inputs, outputs, and metadata retained by the institution?</v>
      </c>
      <c r="C129" s="57" t="str">
        <f>VLOOKUP($A129,Questions!$A$3:$X$333,19,0)&amp;""</f>
        <v>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v>
      </c>
      <c r="D129" s="57" t="str">
        <f>VLOOKUP($A129,Questions!$A$3:$X$333,20,0)&amp;""</f>
        <v>If a solution provider's response is unsatisfactory, engage institutional counsel to appropriately address any ownership concerns.</v>
      </c>
      <c r="E129" s="51"/>
    </row>
    <row r="130" spans="1:5" ht="64.5" customHeight="1" x14ac:dyDescent="0.3">
      <c r="A130" s="57" t="s">
        <v>395</v>
      </c>
      <c r="B130" s="57" t="str">
        <f>VLOOKUP($A130,Questions!$A$3:$X$333,2,0)&amp;""</f>
        <v>In the event of imminent bankruptcy, closing of business, or retirement of service, will you provide 90 days for customers to get their data out of the system and migrate applications?</v>
      </c>
      <c r="C130" s="57" t="str">
        <f>VLOOKUP($A130,Questions!$A$3:$X$333,19,0)&amp;""</f>
        <v>This question clarifies the position of the institution in the case of acquisition or bankruptcy. Expect clear responses to this question. If they are vague, be sure to follow up based on institutional counsel guidance.</v>
      </c>
      <c r="D130" s="57" t="str">
        <f>VLOOKUP($A130,Questions!$A$3:$X$333,20,0)&amp;""</f>
        <v>If a solution provider's response is unsatisfactory, engage institutional counsel to appropriately address any ownership concerns.</v>
      </c>
      <c r="E130" s="58"/>
    </row>
    <row r="131" spans="1:5" ht="66.75" customHeight="1" x14ac:dyDescent="0.3">
      <c r="A131" s="57" t="s">
        <v>398</v>
      </c>
      <c r="B131" s="57" t="str">
        <f>VLOOKUP($A131,Questions!$A$3:$X$333,2,0)&amp;""</f>
        <v>Are involatile backup copies made according to predefined schedules and securely stored and protected?</v>
      </c>
      <c r="C131" s="57" t="str">
        <f>VLOOKUP($A131,Questions!$A$3:$X$333,19,0)&amp;""</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31" s="57" t="str">
        <f>VLOOKUP($A131,Questions!$A$3:$X$333,20,0)&amp;""</f>
        <v>An institution's use case will drive the requirements for backup strategy. Ensure that the institution's use case and risk tolerance can be met by solution provider systems.</v>
      </c>
      <c r="E131" s="60"/>
    </row>
    <row r="132" spans="1:5" ht="81.75" customHeight="1" x14ac:dyDescent="0.3">
      <c r="A132" s="57" t="s">
        <v>402</v>
      </c>
      <c r="B132" s="57" t="str">
        <f>VLOOKUP($A132,Questions!$A$3:$X$333,2,0)&amp;""</f>
        <v>Do you have a cryptographic key management process (generation, exchange, storage, safeguards, use, vetting, and replacement) that is documented and currently implemented, for all system components (e.g., database, system, web, etc.)?</v>
      </c>
      <c r="C132" s="57" t="str">
        <f>VLOOKUP($A132,Questions!$A$3:$X$333,19,0)&amp;""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32" s="57" t="str">
        <f>VLOOKUP($A132,Questions!$A$3:$X$333,20,0)&amp;""</f>
        <v>Follow up with the solution provider to ensure that all components of the system are considered. This includes system-to-system, system-to-client, applications, system accounts, etc.</v>
      </c>
    </row>
    <row r="133" spans="1:5" ht="17.399999999999999" x14ac:dyDescent="0.3">
      <c r="A133" s="63" t="str">
        <f>VLOOKUP(LEFT($A134,4),'Auto Responses'!$N$4:$O$38,2,0)&amp;""</f>
        <v xml:space="preserve"> Application/Service Security</v>
      </c>
      <c r="B133" s="63"/>
      <c r="C133" s="56" t="str">
        <f>Questions!$S$2</f>
        <v>Reason for Question</v>
      </c>
      <c r="D133" s="56" t="str">
        <f>Questions!$T$2</f>
        <v>Follow-Up Inquiries/Responses</v>
      </c>
    </row>
    <row r="134" spans="1:5" ht="80.25" customHeight="1" x14ac:dyDescent="0.3">
      <c r="A134" s="64" t="s">
        <v>161</v>
      </c>
      <c r="B134" s="57" t="str">
        <f>VLOOKUP($A134,Questions!$A$3:$X$333,2,0)&amp;""</f>
        <v>Are access controls for institutional accounts based on structured rules, such as role-based access control (RBAC), attribute-based access control (ABAC), or policy-based access control (PBAC)?*</v>
      </c>
      <c r="C134" s="57" t="str">
        <f>VLOOKUP($A134,Questions!$A$3:$X$333,19,0)&amp;""</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v>
      </c>
      <c r="D134" s="57" t="str">
        <f>VLOOKUP($A134,Questions!$A$3:$X$333,20,0)&amp;""</f>
        <v>Ask the solution provider to summarize the best practices to restrict/control the access given to the institution's end users without the use of RBAC. Make sure to understand the administrative requirements/overhead introduced in the solution provider's environment.</v>
      </c>
    </row>
    <row r="135" spans="1:5" ht="84" customHeight="1" x14ac:dyDescent="0.3">
      <c r="A135" s="57" t="s">
        <v>166</v>
      </c>
      <c r="B135" s="57" t="str">
        <f>VLOOKUP($A135,Questions!$A$3:$X$333,2,0)&amp;""</f>
        <v>Are you using a web application firewall (WAF)?*</v>
      </c>
      <c r="C135" s="57" t="str">
        <f>VLOOKUP($A135,Questions!$A$3:$X$333,19,0)&amp;""</f>
        <v>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v>
      </c>
      <c r="D135" s="57" t="str">
        <f>VLOOKUP($A135,Questions!$A$3:$X$333,20,0)&amp;""</f>
        <v>If a solution provider states that they outsource their code development and do not run a WAF, there is elevated reason for concern. Verify how code is tested, monitored, and controlled in production environments.</v>
      </c>
    </row>
    <row r="136" spans="1:5" ht="71.25" customHeight="1" x14ac:dyDescent="0.3">
      <c r="A136" s="57" t="s">
        <v>170</v>
      </c>
      <c r="B136" s="57" t="str">
        <f>VLOOKUP($A136,Questions!$A$3:$X$333,2,0)&amp;""</f>
        <v>Are only currently supported operating system(s), software, and libraries leveraged by the system(s)/application(s) that will have access to institution's data?*</v>
      </c>
      <c r="C136" s="57" t="str">
        <f>VLOOKUP($A136,Questions!$A$3:$X$333,19,0)&amp;""</f>
        <v>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v>
      </c>
      <c r="D136" s="57" t="str">
        <f>VLOOKUP($A136,Questions!$A$3:$X$333,20,0)&amp;""</f>
        <v>Follow-up inquiries for operating systems leveraged by the solution provider will be institution/implementation specific.</v>
      </c>
    </row>
    <row r="137" spans="1:5" ht="46.5" customHeight="1" x14ac:dyDescent="0.3">
      <c r="A137" s="57" t="s">
        <v>175</v>
      </c>
      <c r="B137" s="57" t="str">
        <f>VLOOKUP($A137,Questions!$A$3:$X$333,2,0)&amp;""</f>
        <v>Does your application require access to location or GPS data?*</v>
      </c>
      <c r="C137" s="57" t="str">
        <f>VLOOKUP($A137,Questions!$A$3:$X$333,19,0)&amp;""</f>
        <v>Sharing location data significantly increases risk factors for users. It's important to understand if this is required.</v>
      </c>
      <c r="D137" s="57" t="str">
        <f>VLOOKUP($A137,Questions!$A$3:$X$333,20,0)&amp;""</f>
        <v>Ask the solution provider about the need for this requirement, and understand any mitigation strategies that may be possible.</v>
      </c>
    </row>
    <row r="138" spans="1:5" ht="74.25" customHeight="1" x14ac:dyDescent="0.3">
      <c r="A138" s="57" t="s">
        <v>178</v>
      </c>
      <c r="B138" s="57" t="str">
        <f>VLOOKUP($A138,Questions!$A$3:$X$333,2,0)&amp;""</f>
        <v>Does your application provide separation of duties between security administration, system administration, and standard user functions?*</v>
      </c>
      <c r="C138" s="57" t="str">
        <f>VLOOKUP($A138,Questions!$A$3:$X$333,19,0)&amp;""</f>
        <v>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v>
      </c>
      <c r="D138" s="57" t="str">
        <f>VLOOKUP($A138,Questions!$A$3:$X$333,20,0)&amp;""</f>
        <v>Ask the solution provider to summarize their best practices for securing their system(s) administratively without the use of RBAC. Make sure to understand the administrative requirements/overhead introduced in the solution provider's environment.</v>
      </c>
    </row>
    <row r="139" spans="1:5" ht="79.5" customHeight="1" x14ac:dyDescent="0.3">
      <c r="A139" s="57" t="s">
        <v>182</v>
      </c>
      <c r="B139" s="57" t="str">
        <f>VLOOKUP($A139,Questions!$A$3:$X$333,2,0)&amp;""</f>
        <v>Do you subject your code to static code analysis and/or static application security testing prior to release?*</v>
      </c>
      <c r="C139" s="57" t="str">
        <f>VLOOKUP($A139,Questions!$A$3:$X$333,19,0)&amp;""</f>
        <v>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v>
      </c>
      <c r="D139" s="57" t="str">
        <f>VLOOKUP($A139,Questions!$A$3:$X$333,20,0)&amp;""</f>
        <v>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v>
      </c>
    </row>
    <row r="140" spans="1:5" ht="56.25" customHeight="1" x14ac:dyDescent="0.3">
      <c r="A140" s="57" t="s">
        <v>186</v>
      </c>
      <c r="B140" s="57" t="str">
        <f>VLOOKUP($A140,Questions!$A$3:$X$333,2,0)&amp;""</f>
        <v>Do you have software testing processes (dynamic or static) that are established and followed?*</v>
      </c>
      <c r="C140" s="57" t="str">
        <f>VLOOKUP($A140,Questions!$A$3:$X$333,19,0)&amp;""</f>
        <v>Code analysis (prior to implementation) can decrease the number of vulnerabilities within a system. Depending on the insight a solution provider has into their code, code testing should be expected.</v>
      </c>
      <c r="D140" s="57" t="str">
        <f>VLOOKUP($A140,Questions!$A$3:$X$333,20,0)&amp;""</f>
        <v>If software testing processes are not established and followed, point the solution provider to OWASP's Testing Guide &lt;https://www.owasp.org/index.php/OWASP_Testing_Guide_v4_Table_of_Contents&gt;.</v>
      </c>
    </row>
    <row r="141" spans="1:5" ht="63.75" customHeight="1" x14ac:dyDescent="0.3">
      <c r="A141" s="57" t="s">
        <v>191</v>
      </c>
      <c r="B141" s="57" t="str">
        <f>VLOOKUP($A141,Questions!$A$3:$X$333,2,0)&amp;""</f>
        <v>Are access controls for staff within your organization based on structured rules, such as RBAC, ABAC, or PBAC?</v>
      </c>
      <c r="C141" s="57" t="str">
        <f>VLOOKUP($A141,Questions!$A$3:$X$333,19,0)&amp;""</f>
        <v>Managing a solution may rely on various professionals to administer a system. This question is focused on how administration, and the segregation of functions, is implemented within the solution provider's infrastructure.</v>
      </c>
      <c r="D141" s="57" t="str">
        <f>VLOOKUP($A141,Questions!$A$3:$X$333,20,0)&amp;""</f>
        <v>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v>
      </c>
    </row>
    <row r="142" spans="1:5" ht="74.25" customHeight="1" x14ac:dyDescent="0.3">
      <c r="A142" s="57" t="s">
        <v>195</v>
      </c>
      <c r="B142" s="57" t="str">
        <f>VLOOKUP($A142,Questions!$A$3:$X$333,2,0)&amp;""</f>
        <v>Does the system provide data input validation and error messages?</v>
      </c>
      <c r="C142" s="57" t="str">
        <f>VLOOKUP($A142,Questions!$A$3:$X$333,19,0)&amp;""</f>
        <v>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142" s="57" t="str">
        <f>VLOOKUP($A142,Questions!$A$3:$X$333,20,0)&amp;""</f>
        <v>Inquire about any planned improvements to these capabilities. Ask about their product roadmap, and try to understand how they prioritize security concerns in their environment.</v>
      </c>
    </row>
    <row r="143" spans="1:5" ht="90" customHeight="1" x14ac:dyDescent="0.3">
      <c r="A143" s="57" t="s">
        <v>198</v>
      </c>
      <c r="B143" s="57" t="str">
        <f>VLOOKUP($A143,Questions!$A$3:$X$333,2,0)&amp;""</f>
        <v>Do you have a process and implemented procedures for managing your software supply chain (e.g., libraries, repositories, frameworks, etc.)?</v>
      </c>
      <c r="C143" s="57" t="str">
        <f>VLOOKUP($A143,Questions!$A$3:$X$333,19,0)&amp;""</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143" s="57" t="str">
        <f>VLOOKUP($A143,Questions!$A$3:$X$333,20,0)&amp;""</f>
        <v>Follow-up inquiries concerning software supply chain will be institution/implementation specific.</v>
      </c>
    </row>
    <row r="144" spans="1:5" ht="75.75" customHeight="1" x14ac:dyDescent="0.3">
      <c r="A144" s="57" t="s">
        <v>202</v>
      </c>
      <c r="B144" s="57" t="str">
        <f>VLOOKUP($A144,Questions!$A$3:$X$333,2,0)&amp;""</f>
        <v>Have your developers been trained in secure coding techniques?</v>
      </c>
      <c r="C144" s="57" t="str">
        <f>VLOOKUP($A144,Questions!$A$3:$X$333,19,0)&amp;""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44" s="57" t="str">
        <f>VLOOKUP($A144,Questions!$A$3:$X$333,20,0)&amp;""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45" spans="1:5" ht="76.5" customHeight="1" x14ac:dyDescent="0.3">
      <c r="A145" s="57" t="s">
        <v>206</v>
      </c>
      <c r="B145" s="57" t="str">
        <f>VLOOKUP($A145,Questions!$A$3:$X$333,2,0)&amp;""</f>
        <v>Was your application developed using secure coding techniques?</v>
      </c>
      <c r="C145" s="57" t="str">
        <f>VLOOKUP($A145,Questions!$A$3:$X$333,19,0)&amp;""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45" s="57" t="str">
        <f>VLOOKUP($A145,Questions!$A$3:$X$333,20,0)&amp;""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46" spans="1:5" ht="61.5" customHeight="1" x14ac:dyDescent="0.3">
      <c r="A146" s="57" t="s">
        <v>210</v>
      </c>
      <c r="B146" s="57" t="str">
        <f>VLOOKUP($A146,Questions!$A$3:$X$333,2,0)&amp;""</f>
        <v>If mobile, is the application available from a trusted source (e.g., App Store, Google Play Store)?</v>
      </c>
      <c r="C146" s="57" t="str">
        <f>VLOOKUP($A146,Questions!$A$3:$X$333,19,0)&amp;""</f>
        <v>Distributing application via known, moderately vetted application platform decreases the chances of malicious code distribution. Stand-alone deployments (nontrusted sources) should be looked at more closely.</v>
      </c>
      <c r="D146" s="57" t="str">
        <f>VLOOKUP($A146,Questions!$A$3:$X$333,20,0)&amp;""</f>
        <v>Ask the solution provider why this deployment strategy is used. Ask if it is a restriction of the app store platform or some other environment restriction.</v>
      </c>
    </row>
    <row r="147" spans="1:5" ht="60.75" customHeight="1" x14ac:dyDescent="0.3">
      <c r="A147" s="57" t="s">
        <v>213</v>
      </c>
      <c r="B147" s="57" t="str">
        <f>VLOOKUP($A147,Questions!$A$3:$X$333,2,0)&amp;""</f>
        <v>Do you have a fully implemented policy or procedure that details how your employees obtain administrator access to institutional instance of the application?</v>
      </c>
      <c r="C147" s="57" t="str">
        <f>VLOOKUP($A147,Questions!$A$3:$X$333,19,0)&amp;""</f>
        <v>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v>
      </c>
      <c r="D147" s="57" t="str">
        <f>VLOOKUP($A147,Questions!$A$3:$X$333,20,0)&amp;""</f>
        <v>Ask the solution provider to summarize their implemented policies and/or procedures</v>
      </c>
    </row>
    <row r="148" spans="1:5" ht="17.399999999999999" x14ac:dyDescent="0.3">
      <c r="A148" s="63" t="str">
        <f>VLOOKUP(LEFT($A149,4),'Auto Responses'!$N$4:$O$38,2,0)&amp;""</f>
        <v xml:space="preserve"> Datacenter</v>
      </c>
      <c r="B148" s="63"/>
      <c r="C148" s="56" t="str">
        <f>Questions!$S$2</f>
        <v>Reason for Question</v>
      </c>
      <c r="D148" s="56" t="str">
        <f>Questions!$T$2</f>
        <v>Follow-Up Inquiries/Responses</v>
      </c>
    </row>
    <row r="149" spans="1:5" ht="57.75" customHeight="1" x14ac:dyDescent="0.25">
      <c r="A149" s="57" t="s">
        <v>407</v>
      </c>
      <c r="B149" s="57" t="str">
        <f>VLOOKUP($A149,Questions!$A$3:$X$333,2,0)&amp;""</f>
        <v>Select your hosting option.</v>
      </c>
      <c r="C149" s="57" t="str">
        <f>VLOOKUP($A149,Questions!$A$3:$X$333,19,0)&amp;""</f>
        <v>Understanding the hosting environment may reveal infrastructure risks that may not be apparent by other means and provides context to the responses provided throughout this HECVAT.</v>
      </c>
      <c r="D149" s="57" t="str">
        <f>VLOOKUP($A149,Questions!$A$3:$X$333,20,0)&amp;""</f>
        <v>Follow-up inquiries for hosting options will be institution/implementation specific.</v>
      </c>
      <c r="E149" s="241" t="s">
        <v>1454</v>
      </c>
    </row>
    <row r="150" spans="1:5" ht="129" customHeight="1" x14ac:dyDescent="0.3">
      <c r="A150" s="57" t="s">
        <v>412</v>
      </c>
      <c r="B150" s="57" t="str">
        <f>VLOOKUP($A150,Questions!$A$3:$X$333,2,0)&amp;""</f>
        <v>Is a SOC 2 Type 2 report available for the hosting environment?</v>
      </c>
      <c r="C150" s="57" t="str">
        <f>VLOOKUP($A150,Questions!$A$3:$X$333,19,0)&amp;""</f>
        <v>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v>
      </c>
      <c r="D150" s="57" t="str">
        <f>VLOOKUP($A150,Questions!$A$3:$X$333,20,0)&amp;""</f>
        <v>Follow-up inquiries for additional solution provider's SOC 2 Type 2 reports will be institution/implementation specific.</v>
      </c>
    </row>
    <row r="151" spans="1:5" ht="90" customHeight="1" x14ac:dyDescent="0.3">
      <c r="A151" s="57" t="s">
        <v>414</v>
      </c>
      <c r="B151" s="57" t="str">
        <f>VLOOKUP($A151,Questions!$A$3:$X$333,2,0)&amp;""</f>
        <v>Are you generally able to accommodate storing each institution's data within its geographic region?</v>
      </c>
      <c r="C151" s="57" t="str">
        <f>VLOOKUP($A151,Questions!$A$3:$X$333,19,0)&amp;""</f>
        <v>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v>
      </c>
      <c r="D151" s="57" t="str">
        <f>VLOOKUP($A151,Questions!$A$3:$X$333,20,0)&amp;""</f>
        <v>If a solution provider is unable to accommodate storing/processing institutional data within specific regions, ask them why they are unable to. Try to determine if it's an infrastructure issue (scalability), a cost-reduction strategy (size/maturity), or some other issue.</v>
      </c>
    </row>
    <row r="152" spans="1:5" ht="75" customHeight="1" x14ac:dyDescent="0.3">
      <c r="A152" s="57" t="s">
        <v>417</v>
      </c>
      <c r="B152" s="57" t="str">
        <f>VLOOKUP($A152,Questions!$A$3:$X$333,2,0)&amp;""</f>
        <v>Are the data centers staffed 24 hours a day, seven days a week (i.e., 24 x 7 x 365)?</v>
      </c>
      <c r="C152" s="57" t="str">
        <f>VLOOKUP($A152,Questions!$A$3:$X$333,19,0)&amp;""</f>
        <v>Solution Providers that operate their own datacenter(s) can implement their own monitoring strategy. Use the solution provider's response to this questions to verify/validate other responses related to ownership/co-location/physical security.</v>
      </c>
      <c r="D152" s="57" t="str">
        <f>VLOOKUP($A152,Questions!$A$3:$X$333,20,0)&amp;""</f>
        <v>Follow-up inquiries for data center staffing will be institution/implementation specific.</v>
      </c>
    </row>
    <row r="153" spans="1:5" ht="75" customHeight="1" x14ac:dyDescent="0.3">
      <c r="A153" s="57" t="s">
        <v>422</v>
      </c>
      <c r="B153" s="57" t="str">
        <f>VLOOKUP($A153,Questions!$A$3:$X$333,2,0)&amp;""</f>
        <v>Are your servers separated from other companies via a physical barrier, such as a cage or hard walls?</v>
      </c>
      <c r="C153" s="57" t="str">
        <f>VLOOKUP($A153,Questions!$A$3:$X$333,19,0)&amp;""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53" s="57" t="str">
        <f>VLOOKUP($A153,Questions!$A$3:$X$333,20,0)&amp;""</f>
        <v>Follow-up inquiries for system physical security will be institution/implementation specific.</v>
      </c>
      <c r="E153" s="51"/>
    </row>
    <row r="154" spans="1:5" ht="64.5" customHeight="1" x14ac:dyDescent="0.3">
      <c r="A154" s="57" t="s">
        <v>425</v>
      </c>
      <c r="B154" s="57" t="str">
        <f>VLOOKUP($A154,Questions!$A$3:$X$333,2,0)&amp;""</f>
        <v>Does a physical barrier fully enclose the physical space, preventing unauthorized physical contact with any of your devices?*</v>
      </c>
      <c r="C154" s="57" t="str">
        <f>VLOOKUP($A154,Questions!$A$3:$X$333,19,0)&amp;""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54" s="57" t="str">
        <f>VLOOKUP($A154,Questions!$A$3:$X$333,20,0)&amp;""</f>
        <v>Follow-up inquiries for system physical security will be institution/implementation specific.</v>
      </c>
      <c r="E154" s="58"/>
    </row>
    <row r="155" spans="1:5" ht="72" customHeight="1" x14ac:dyDescent="0.3">
      <c r="A155" s="57" t="s">
        <v>427</v>
      </c>
      <c r="B155" s="57" t="str">
        <f>VLOOKUP($A155,Questions!$A$3:$X$333,2,0)&amp;""</f>
        <v>Are your primary and secondary data centers geographically diverse?</v>
      </c>
      <c r="C155" s="57" t="str">
        <f>VLOOKUP($A155,Questions!$A$3:$X$333,19,0)&amp;""</f>
        <v>When planning for business continuity and disaster recovery, considering geographic diversity of a solution provider's operating environment will help analysts better understand risk due to widespread technical issues as well as weather and environmental considerations.</v>
      </c>
      <c r="D155" s="57" t="str">
        <f>VLOOKUP($A155,Questions!$A$3:$X$333,20,0)&amp;""</f>
        <v>Follow-up inquiries for geographic diversity in datacenters will be institution/implementation specific.</v>
      </c>
    </row>
    <row r="156" spans="1:5" ht="54.75" customHeight="1" x14ac:dyDescent="0.3">
      <c r="A156" s="57" t="s">
        <v>432</v>
      </c>
      <c r="B156" s="57" t="str">
        <f>VLOOKUP($A156,Questions!$A$3:$X$333,2,0)&amp;""</f>
        <v>Is the service hosted in a high-availability environment?</v>
      </c>
      <c r="C156" s="57" t="str">
        <f>VLOOKUP($A156,Questions!$A$3:$X$333,19,0)&amp;""</f>
        <v>In the context of the CIA triad, this question is focused on the availability of a system (or set of systems).</v>
      </c>
      <c r="D156" s="57" t="str">
        <f>VLOOKUP($A156,Questions!$A$3:$X$333,20,0)&amp;""</f>
        <v>The weight placed on the solution provider's response will be specific to the institution's use case and solution requirements.</v>
      </c>
    </row>
    <row r="157" spans="1:5" ht="48" customHeight="1" x14ac:dyDescent="0.3">
      <c r="A157" s="57" t="s">
        <v>433</v>
      </c>
      <c r="B157" s="57" t="str">
        <f>VLOOKUP($A157,Questions!$A$3:$X$333,2,0)&amp;""</f>
        <v>Is redundant power available for all data centers where institutional data will reside?</v>
      </c>
      <c r="C157" s="57" t="str">
        <f>VLOOKUP($A157,Questions!$A$3:$X$333,19,0)&amp;""</f>
        <v>In the context of the CIA triad, this question is focused on the availability of a system (or set of systems).</v>
      </c>
      <c r="D157" s="57" t="str">
        <f>VLOOKUP($A157,Questions!$A$3:$X$333,20,0)&amp;""</f>
        <v>The weight placed on the solution provider's response will be specific to the institution's use case and solution requirements.</v>
      </c>
    </row>
    <row r="158" spans="1:5" ht="59.25" customHeight="1" x14ac:dyDescent="0.3">
      <c r="A158" s="57" t="s">
        <v>434</v>
      </c>
      <c r="B158" s="57" t="str">
        <f>VLOOKUP($A158,Questions!$A$3:$X$333,2,0)&amp;""</f>
        <v>Are redundant power strategies tested?*</v>
      </c>
      <c r="C158" s="57" t="str">
        <f>VLOOKUP($A158,Questions!$A$3:$X$333,19,0)&amp;""</f>
        <v>Installing (potential) redundant power and regularly testing strategies to ensure they will work when needed are very different. Vague responses to this question should be met with concern and appropriate follow up, based on your institution's risk tolerance.</v>
      </c>
      <c r="D158" s="57" t="str">
        <f>VLOOKUP($A158,Questions!$A$3:$X$333,20,0)&amp;""</f>
        <v>Follow-up inquiries for redundant power testing details will be institution/implementation specific.</v>
      </c>
    </row>
    <row r="159" spans="1:5" ht="48" customHeight="1" x14ac:dyDescent="0.3">
      <c r="A159" s="57" t="s">
        <v>439</v>
      </c>
      <c r="B159" s="57" t="str">
        <f>VLOOKUP($A159,Questions!$A$3:$X$333,2,0)&amp;""</f>
        <v>Does the center where the data will reside have cooling and fire-suppression systems that are active and regularly tested?</v>
      </c>
      <c r="C159" s="57" t="str">
        <f>VLOOKUP($A159,Questions!$A$3:$X$333,19,0)&amp;""</f>
        <v>Installing appropriate environmental controls is crucial to maintaining the integrity of the hosting site. Vague responses to this question should be met with concern and appropriate follow up, based on your institutions risk tolerance.</v>
      </c>
      <c r="D159" s="57" t="str">
        <f>VLOOKUP($A159,Questions!$A$3:$X$333,20,0)&amp;""</f>
        <v>Follow-up inquiries for cooling and fire suppression systems will be institution/implementation specific.</v>
      </c>
    </row>
    <row r="160" spans="1:5" ht="45" customHeight="1" x14ac:dyDescent="0.3">
      <c r="A160" s="57" t="s">
        <v>442</v>
      </c>
      <c r="B160" s="57" t="str">
        <f>VLOOKUP($A160,Questions!$A$3:$X$333,2,0)&amp;""</f>
        <v>Do you have Internet Service Provider (ISP) redundancy?</v>
      </c>
      <c r="C160" s="57" t="str">
        <f>VLOOKUP($A160,Questions!$A$3:$X$333,19,0)&amp;""</f>
        <v>In the context of the CIA triad, this question is focused on the availability of a system (or set of systems).</v>
      </c>
      <c r="D160" s="57" t="str">
        <f>VLOOKUP($A160,Questions!$A$3:$X$333,20,0)&amp;""</f>
        <v>The weight placed on the solution provider's response will be specific to the institution's use case and solution requirements.</v>
      </c>
      <c r="E160" s="60"/>
    </row>
    <row r="161" spans="1:5" ht="53.25" customHeight="1" x14ac:dyDescent="0.3">
      <c r="A161" s="57" t="s">
        <v>446</v>
      </c>
      <c r="B161" s="57" t="str">
        <f>VLOOKUP($A161,Questions!$A$3:$X$333,2,0)&amp;""</f>
        <v>Does every data center where the institution's data will reside have multiple telephone company or network provider entrances to the facility?</v>
      </c>
      <c r="C161" s="57" t="str">
        <f>VLOOKUP($A161,Questions!$A$3:$X$333,19,0)&amp;""</f>
        <v>In the context of the CIA triad, this question is focused on the availability of a system (or set of systems).</v>
      </c>
      <c r="D161" s="57" t="str">
        <f>VLOOKUP($A161,Questions!$A$3:$X$333,20,0)&amp;""</f>
        <v>The weight placed on the solution provider's response will be specific to the institution's use case and solution requirements.</v>
      </c>
    </row>
    <row r="162" spans="1:5" ht="52.5" customHeight="1" x14ac:dyDescent="0.3">
      <c r="A162" s="57" t="s">
        <v>448</v>
      </c>
      <c r="B162" s="57" t="str">
        <f>VLOOKUP($A162,Questions!$A$3:$X$333,2,0)&amp;""</f>
        <v>Do you require multifactor authentication for all administrative accounts in your environment?</v>
      </c>
      <c r="C162" s="57" t="str">
        <f>VLOOKUP($A162,Questions!$A$3:$X$333,19,0)&amp;""</f>
        <v>2FA/MFA, implemented correctly, strengthens the security state of a system. 2FA/MFA is commonly implemented and in many use cases is a requirement for account protection purposes.</v>
      </c>
      <c r="D162" s="57" t="str">
        <f>VLOOKUP($A162,Questions!$A$3:$X$333,20,0)&amp;""</f>
        <v>Ask the solution provider about hardware and software options, future roadmap for implementations and support, etc.</v>
      </c>
    </row>
    <row r="163" spans="1:5" ht="39" customHeight="1" x14ac:dyDescent="0.3">
      <c r="A163" s="57" t="s">
        <v>452</v>
      </c>
      <c r="B163" s="57" t="str">
        <f>VLOOKUP($A163,Questions!$A$3:$X$333,2,0)&amp;""</f>
        <v>Are you using your cloud provider's available hardening tools or pre-hardened images?</v>
      </c>
      <c r="C163" s="57" t="str">
        <f>VLOOKUP($A163,Questions!$A$3:$X$333,19,0)&amp;""</f>
        <v>In the context of the CIA triad, this question is focused on the integrity of a system (or set of systems).</v>
      </c>
      <c r="D163" s="57" t="str">
        <f>VLOOKUP($A163,Questions!$A$3:$X$333,20,0)&amp;""</f>
        <v>Ask the solution provider about their system lifecycle practices and security methodology.</v>
      </c>
    </row>
    <row r="164" spans="1:5" ht="75.75" customHeight="1" x14ac:dyDescent="0.3">
      <c r="A164" s="57" t="s">
        <v>456</v>
      </c>
      <c r="B164" s="57" t="str">
        <f>VLOOKUP($A164,Questions!$A$3:$X$333,2,0)&amp;""</f>
        <v>Does your cloud solution provider have access to your encryption keys?</v>
      </c>
      <c r="C164" s="57" t="str">
        <f>VLOOKUP($A164,Questions!$A$3:$X$333,19,0)&amp;""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64" s="57" t="str">
        <f>VLOOKUP($A164,Questions!$A$3:$X$333,20,0)&amp;""</f>
        <v>Follow up with the solution provider to ensure that all components of the system are considered. This includes system-to-system, system-to-client, applications, system accounts, etc.</v>
      </c>
    </row>
    <row r="165" spans="1:5" ht="17.399999999999999" x14ac:dyDescent="0.3">
      <c r="A165" s="63" t="str">
        <f>VLOOKUP(LEFT($A166,4),'Auto Responses'!$N$4:$O$38,2,0)&amp;""</f>
        <v xml:space="preserve"> Firewalls, IDS, IPS, and Networking</v>
      </c>
      <c r="B165" s="63"/>
      <c r="C165" s="56" t="str">
        <f>Questions!$S$2</f>
        <v>Reason for Question</v>
      </c>
      <c r="D165" s="56" t="str">
        <f>Questions!$T$2</f>
        <v>Follow-Up Inquiries/Responses</v>
      </c>
    </row>
    <row r="166" spans="1:5" ht="67.5" customHeight="1" x14ac:dyDescent="0.3">
      <c r="A166" s="57" t="s">
        <v>462</v>
      </c>
      <c r="B166" s="57" t="str">
        <f>VLOOKUP($A166,Questions!$A$3:$X$333,2,0)&amp;""</f>
        <v>Are you utilizing a stateful packet inspection (SPI) firewall?*</v>
      </c>
      <c r="C166" s="57" t="str">
        <f>VLOOKUP($A166,Questions!$A$3:$X$333,19,0)&amp;""</f>
        <v>The use case, vendor infrastructure, and types of services offered will greatly affect the need for various firewalling devices. The focus of this question is integrity, ensuring that the systems hosting institutional data are limited in need-only communications.</v>
      </c>
      <c r="D166" s="57" t="str">
        <f>VLOOKUP($A166,Questions!$A$3:$X$333,20,0)&amp;""</f>
        <v>Follow-up inquiries for firewall capabilities will be institution/implementation specific.</v>
      </c>
      <c r="E166" s="60"/>
    </row>
    <row r="167" spans="1:5" ht="60" customHeight="1" x14ac:dyDescent="0.3">
      <c r="A167" s="57" t="s">
        <v>465</v>
      </c>
      <c r="B167" s="57" t="str">
        <f>VLOOKUP($A167,Questions!$A$3:$X$333,2,0)&amp;""</f>
        <v>Do you have a documented policy for firewall change requests?*</v>
      </c>
      <c r="C167" s="57" t="str">
        <f>VLOOKUP($A167,Questions!$A$3:$X$333,19,0)&amp;""</f>
        <v>In the context of the CIA triad, this question is focused on system integrity, ensuring that system changes are only executed by authorized users. Any change to a verified, known, secure environment should be carefully evaluated by stakeholders in a structured manner.</v>
      </c>
      <c r="D167" s="57" t="str">
        <f>VLOOKUP($A167,Questions!$A$3:$X$333,20,0)&amp;""</f>
        <v>Follow-up inquiries for firewall change requests will be institution/implementation specific.</v>
      </c>
    </row>
    <row r="168" spans="1:5" ht="59.25" customHeight="1" x14ac:dyDescent="0.3">
      <c r="A168" s="57" t="s">
        <v>470</v>
      </c>
      <c r="B168" s="57" t="str">
        <f>VLOOKUP($A168,Questions!$A$3:$X$333,2,0)&amp;""</f>
        <v>Have you implemented an intrusion detection system (network-based)?*</v>
      </c>
      <c r="C168" s="57" t="str">
        <f>VLOOKUP($A168,Questions!$A$3:$X$333,19,0)&amp;""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68" s="57" t="str">
        <f>VLOOKUP($A168,Questions!$A$3:$X$333,20,0)&amp;""</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69" spans="1:5" ht="63.75" customHeight="1" x14ac:dyDescent="0.3">
      <c r="A169" s="57" t="s">
        <v>475</v>
      </c>
      <c r="B169" s="57" t="str">
        <f>VLOOKUP($A169,Questions!$A$3:$X$333,2,0)&amp;""</f>
        <v>Do you employ host-based intrusion detection?*</v>
      </c>
      <c r="C169" s="57" t="str">
        <f>VLOOKUP($A169,Questions!$A$3:$X$333,19,0)&amp;""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69" s="57" t="str">
        <f>VLOOKUP($A169,Questions!$A$3:$X$333,20,0)&amp;""</f>
        <v>Ask the solution provider to summarize why host-based intrusion detection tools are not implemented in their environment. What compensating controls are in place to detect configuration changes and/or failures of integrity?</v>
      </c>
      <c r="E169" s="51"/>
    </row>
    <row r="170" spans="1:5" ht="71.25" customHeight="1" x14ac:dyDescent="0.3">
      <c r="A170" s="57" t="s">
        <v>478</v>
      </c>
      <c r="B170" s="57" t="str">
        <f>VLOOKUP($A170,Questions!$A$3:$X$333,2,0)&amp;""</f>
        <v>Are audit logs available for all changes to the network, firewall, IDS, and IPS systems?*</v>
      </c>
      <c r="C170" s="57" t="str">
        <f>VLOOKUP($A170,Questions!$A$3:$X$333,19,0)&amp;""</f>
        <v>Strong logging capabilities are vital to the proper management of a network. Implementing an immature system that lacks sufficient logging capabilities exposes an institution to great risk.</v>
      </c>
      <c r="D170" s="57" t="str">
        <f>VLOOKUP($A170,Questions!$A$3:$X$333,20,0)&amp;""</f>
        <v>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v>
      </c>
      <c r="E170" s="58"/>
    </row>
    <row r="171" spans="1:5" ht="72" customHeight="1" x14ac:dyDescent="0.3">
      <c r="A171" s="57" t="s">
        <v>480</v>
      </c>
      <c r="B171" s="57" t="str">
        <f>VLOOKUP($A171,Questions!$A$3:$X$333,2,0)&amp;""</f>
        <v>Is authority for firewall change approval documented? Please list approver names or titles in Additional Info.</v>
      </c>
      <c r="C171" s="57" t="str">
        <f>VLOOKUP($A171,Questions!$A$3:$X$333,19,0)&amp;""</f>
        <v>Modifications to firewall rule sets can have significant repercussions. To ensure the integrity of the rule set, this question targets the individual (or responsible party) for changes and the reasoning behind their authority.</v>
      </c>
      <c r="D171" s="57" t="str">
        <f>VLOOKUP($A171,Questions!$A$3:$X$333,20,0)&amp;""</f>
        <v>Ensure that a separation of duties exists in network security configurations. Pay close attention to responsibility overlap in small organizations, where staff often fill multiple roles.</v>
      </c>
    </row>
    <row r="172" spans="1:5" ht="67.5" customHeight="1" x14ac:dyDescent="0.3">
      <c r="A172" s="57" t="s">
        <v>482</v>
      </c>
      <c r="B172" s="57" t="str">
        <f>VLOOKUP($A172,Questions!$A$3:$X$333,2,0)&amp;""</f>
        <v>Have you implemented an intrusion prevention system (network-based)?</v>
      </c>
      <c r="C172" s="57" t="str">
        <f>VLOOKUP($A172,Questions!$A$3:$X$333,19,0)&amp;""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72" s="57" t="str">
        <f>VLOOKUP($A172,Questions!$A$3:$X$333,20,0)&amp;""</f>
        <v>A security program with limited resources for active prevention is inefficient. Inquiries should include training for staff, reasoning behind not using IPS technologies, and how systems are actively protected and how malicious activity is stopped.</v>
      </c>
    </row>
    <row r="173" spans="1:5" ht="60.75" customHeight="1" x14ac:dyDescent="0.3">
      <c r="A173" s="57" t="s">
        <v>485</v>
      </c>
      <c r="B173" s="57" t="str">
        <f>VLOOKUP($A173,Questions!$A$3:$X$333,2,0)&amp;""</f>
        <v>Do you employ host-based intrusion prevention?</v>
      </c>
      <c r="C173" s="57" t="str">
        <f>VLOOKUP($A173,Questions!$A$3:$X$333,19,0)&amp;""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73" s="57" t="str">
        <f>VLOOKUP($A173,Questions!$A$3:$X$333,20,0)&amp;""</f>
        <v>Ask the solution provider to summarize why host-based intrusion prevention tools are not implemented in their environment. What compensating controls are in place to detect malicious activity and to actively prevent its function?</v>
      </c>
    </row>
    <row r="174" spans="1:5" ht="72.75" customHeight="1" x14ac:dyDescent="0.3">
      <c r="A174" s="57" t="s">
        <v>490</v>
      </c>
      <c r="B174" s="57" t="str">
        <f>VLOOKUP($A174,Questions!$A$3:$X$333,2,0)&amp;""</f>
        <v>Are you employing any next-generation persistent threat (NGPT) monitoring?</v>
      </c>
      <c r="C174" s="57" t="str">
        <f>VLOOKUP($A174,Questions!$A$3:$X$333,19,0)&amp;""</f>
        <v>This question is primarily focused on determining the maturity of a solution provider's security program and their ability to implement and operate cutting-edge technologies. Investment in advanced technologies may indicate appropriate security program capabilities.</v>
      </c>
      <c r="D174" s="57" t="str">
        <f>VLOOKUP($A174,Questions!$A$3:$X$333,20,0)&amp;""</f>
        <v>Follow-up inquiries for next-generation persistent threat monitoring will be institution/implementation specific.</v>
      </c>
    </row>
    <row r="175" spans="1:5" ht="72.75" customHeight="1" x14ac:dyDescent="0.3">
      <c r="A175" s="57" t="s">
        <v>495</v>
      </c>
      <c r="B175" s="57" t="str">
        <f>VLOOKUP($A175,Questions!$A$3:$X$333,2,0)&amp;""</f>
        <v>Is intrusion monitoring performed internally or by a third-party service?</v>
      </c>
      <c r="C175" s="57" t="str">
        <f>VLOOKUP($A175,Questions!$A$3:$X$333,19,0)&amp;""</f>
        <v>This question is primarily focused on the capability of a solution provider's security program. Understanding the size and skillsets of a solution provider (taken from other responses) is needed to determine the appropriateness of the solution provider's response to this question.</v>
      </c>
      <c r="D175" s="57" t="str">
        <f>VLOOKUP($A175,Questions!$A$3:$X$333,20,0)&amp;""</f>
        <v>Follow-up inquiries for intrusion monitoring will be institution/implementation specific.</v>
      </c>
    </row>
    <row r="176" spans="1:5" ht="66.75" customHeight="1" x14ac:dyDescent="0.3">
      <c r="A176" s="57" t="s">
        <v>499</v>
      </c>
      <c r="B176" s="57" t="str">
        <f>VLOOKUP($A176,Questions!$A$3:$X$333,2,0)&amp;""</f>
        <v>Do you monitor for intrusions on a 24 x 7 x 365 basis?</v>
      </c>
      <c r="C176" s="57" t="str">
        <f>VLOOKUP($A176,Questions!$A$3:$X$333,19,0)&amp;""</f>
        <v>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v>
      </c>
      <c r="D176" s="57" t="str">
        <f>VLOOKUP($A176,Questions!$A$3:$X$333,20,0)&amp;""</f>
        <v>Follow-up inquiries for 24 x 7 x 365 monitoring will be institution/implementation specific.</v>
      </c>
    </row>
    <row r="177" spans="1:5" ht="17.399999999999999" x14ac:dyDescent="0.3">
      <c r="A177" s="63" t="str">
        <f>VLOOKUP(LEFT($A178,4),'Auto Responses'!$N$4:$O$38,2,0)&amp;""</f>
        <v xml:space="preserve"> Incident Handling</v>
      </c>
      <c r="B177" s="63"/>
      <c r="C177" s="56" t="str">
        <f>Questions!$S$2</f>
        <v>Reason for Question</v>
      </c>
      <c r="D177" s="56" t="str">
        <f>Questions!$T$2</f>
        <v>Follow-Up Inquiries/Responses</v>
      </c>
    </row>
    <row r="178" spans="1:5" ht="100.5" customHeight="1" x14ac:dyDescent="0.25">
      <c r="A178" s="57" t="s">
        <v>558</v>
      </c>
      <c r="B178" s="57" t="str">
        <f>VLOOKUP($A178,Questions!$A$3:$X$333,2,0)&amp;""</f>
        <v>Do you have a formal incident response plan?</v>
      </c>
      <c r="C178" s="57" t="str">
        <f>VLOOKUP($A178,Questions!$A$3:$X$333,19,0)&amp;""</f>
        <v>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v>
      </c>
      <c r="D178" s="57" t="str">
        <f>VLOOKUP($A178,Questions!$A$3:$X$333,20,0)&amp;""</f>
        <v>If the solution provider does not have an incident response plan, direct them to the NIST Computer Security Incident Handling Guide &lt;https://csrc.nist.gov/publications/detail/sp/800-61/rev-2/final&gt;.</v>
      </c>
      <c r="E178" s="241" t="s">
        <v>1454</v>
      </c>
    </row>
    <row r="179" spans="1:5" ht="60.75" customHeight="1" x14ac:dyDescent="0.3">
      <c r="A179" s="57" t="s">
        <v>562</v>
      </c>
      <c r="B179" s="57" t="str">
        <f>VLOOKUP($A179,Questions!$A$3:$X$333,2,0)&amp;""</f>
        <v>Do you either have an internal incident response team or retain an external team?</v>
      </c>
      <c r="C179" s="57" t="str">
        <f>VLOOKUP($A179,Questions!$A$3:$X$333,19,0)&amp;""</f>
        <v>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179" s="57" t="str">
        <f>VLOOKUP($A179,Questions!$A$3:$X$333,20,0)&amp;""</f>
        <v>If the solution provider does not have an incident response plan, direct them to the NIST Computer Security Incident Handling Guide &lt;https://csrc.nist.gov/publications/detail/sp/800-61/rev-2/final&gt;.</v>
      </c>
    </row>
    <row r="180" spans="1:5" ht="69" customHeight="1" x14ac:dyDescent="0.3">
      <c r="A180" s="57" t="s">
        <v>566</v>
      </c>
      <c r="B180" s="57" t="str">
        <f>VLOOKUP($A180,Questions!$A$3:$X$333,2,0)&amp;""</f>
        <v>Do you have the capability to respond to incidents on a 24 x 7 x 365 basis?</v>
      </c>
      <c r="C180" s="57" t="str">
        <f>VLOOKUP($A180,Questions!$A$3:$X$333,19,0)&amp;""</f>
        <v>The incident team structure (internal vs. external), size, and capabilities of a solution provider have a significant impact on their ability to respond to and protect an institution's data. Use the knowledge of this response when evaluating other solution provider statements.</v>
      </c>
      <c r="D180" s="57" t="str">
        <f>VLOOKUP($A180,Questions!$A$3:$X$333,20,0)&amp;""</f>
        <v>If the solution provider does not have an incident response team, direct them to the NIST Computer Security Incident Handling Guide &lt;https://csrc.nist.gov/publications/detail/sp/800-61/rev-2/final&gt;.</v>
      </c>
    </row>
    <row r="181" spans="1:5" ht="78" customHeight="1" x14ac:dyDescent="0.3">
      <c r="A181" s="57" t="s">
        <v>570</v>
      </c>
      <c r="B181" s="57" t="str">
        <f>VLOOKUP($A181,Questions!$A$3:$X$333,2,0)&amp;""</f>
        <v>Do you carry cyber-risk insurance to protect against unforeseen service outages, data that is lost or stolen, and security incidents?</v>
      </c>
      <c r="C181" s="57" t="str">
        <f>VLOOKUP($A181,Questions!$A$3:$X$333,19,0)&amp;""</f>
        <v>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v>
      </c>
      <c r="D181" s="57" t="str">
        <f>VLOOKUP($A181,Questions!$A$3:$X$333,20,0)&amp;""</f>
        <v>If the solution provider does not have an incident response plan, point them to the NIST Computer Security Incident Handling Guide &lt;https://csrc.nist.gov/publications/detail/sp/800-61/rev-2/final&gt;.</v>
      </c>
      <c r="E181" s="51"/>
    </row>
    <row r="182" spans="1:5" ht="17.399999999999999" x14ac:dyDescent="0.3">
      <c r="A182" s="63" t="str">
        <f>VLOOKUP(LEFT($A183,4),'Auto Responses'!$N$4:$O$38,2,0)&amp;""</f>
        <v xml:space="preserve"> Vulnerability Management</v>
      </c>
      <c r="B182" s="63"/>
      <c r="C182" s="56" t="str">
        <f>Questions!$S$2</f>
        <v>Reason for Question</v>
      </c>
      <c r="D182" s="56" t="str">
        <f>Questions!$T$2</f>
        <v>Follow-Up Inquiries/Responses</v>
      </c>
      <c r="E182" s="58"/>
    </row>
    <row r="183" spans="1:5" ht="65.25" customHeight="1" x14ac:dyDescent="0.3">
      <c r="A183" s="57" t="s">
        <v>572</v>
      </c>
      <c r="B183" s="57" t="str">
        <f>VLOOKUP($A183,Questions!$A$3:$X$333,2,0)&amp;""</f>
        <v>Are your systems and applications scanned with an authenticated user account for vulnerabilities (that are remediated) prior to new releases?*</v>
      </c>
      <c r="C183" s="57" t="str">
        <f>VLOOKUP($A183,Questions!$A$3:$X$333,19,0)&amp;""</f>
        <v>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183" s="57" t="str">
        <f>VLOOKUP($A183,Questions!$A$3:$X$333,20,0)&amp;""</f>
        <v>Ask if there are plans to implement these processes. Ask the solution provider to summarize their decision behind not scanning their applications for vulnerabilities prior to release.</v>
      </c>
    </row>
    <row r="184" spans="1:5" ht="58.5" customHeight="1" x14ac:dyDescent="0.3">
      <c r="A184" s="57" t="s">
        <v>575</v>
      </c>
      <c r="B184" s="57" t="str">
        <f>VLOOKUP($A184,Questions!$A$3:$X$333,2,0)&amp;""</f>
        <v>Will you provide results of application and system vulnerability scans to the institution?*</v>
      </c>
      <c r="C184" s="57" t="str">
        <f>VLOOKUP($A184,Questions!$A$3:$X$333,19,0)&amp;""</f>
        <v>If a solution provider is scanning its applications and/or systems, oftentimes an institution will want to review the report, if possible. Preferably, any finding on the reports will have a matching mitigation action.</v>
      </c>
      <c r="D184" s="57" t="str">
        <f>VLOOKUP($A184,Questions!$A$3:$X$333,20,0)&amp;""</f>
        <v>If a solution provider is hesitant to share the report, ask for a summarized version; some insight is better than none.</v>
      </c>
    </row>
    <row r="185" spans="1:5" ht="65.25" customHeight="1" x14ac:dyDescent="0.3">
      <c r="A185" s="57" t="s">
        <v>579</v>
      </c>
      <c r="B185" s="57" t="str">
        <f>VLOOKUP($A185,Questions!$A$3:$X$333,2,0)&amp;""</f>
        <v>Will you allow the institution to perform its own vulnerability testing and/or scanning of your systems and/or application, provided that testing is performed at a mutually agreed upon time and date?*</v>
      </c>
      <c r="C185" s="57" t="str">
        <f>VLOOKUP($A185,Questions!$A$3:$X$333,19,0)&amp;""</f>
        <v>Many higher education institutions are capable of performing vulnerability assessments and/or penetration testing on their solution providers' infrastructures. This question confirms the possibility of conducting these actions against the solution provider's infrastructure.</v>
      </c>
      <c r="D185" s="57" t="str">
        <f>VLOOKUP($A185,Questions!$A$3:$X$333,20,0)&amp;""</f>
        <v>Follow-up inquiries for vulnerability scanning and penetration testing will be institution/implementation specific.</v>
      </c>
    </row>
    <row r="186" spans="1:5" ht="85.5" customHeight="1" x14ac:dyDescent="0.3">
      <c r="A186" s="57" t="s">
        <v>582</v>
      </c>
      <c r="B186" s="57" t="str">
        <f>VLOOKUP($A186,Questions!$A$3:$X$333,2,0)&amp;""</f>
        <v>Have your systems and applications had a third-party security assessment completed in the last year?</v>
      </c>
      <c r="C186" s="57" t="str">
        <f>VLOOKUP($A186,Questions!$A$3:$X$333,19,0)&amp;""</f>
        <v>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86" s="57" t="str">
        <f>VLOOKUP($A186,Questions!$A$3:$X$333,20,0)&amp;""</f>
        <v>Ask if there has ever been a vulnerability scan. A short lapse in external assessment validity can be understood (if there is a planned assessment), but a significant time lapse or no scan whatsoever is cause for elevated levels of concern.</v>
      </c>
    </row>
    <row r="187" spans="1:5" ht="69" x14ac:dyDescent="0.3">
      <c r="A187" s="57" t="s">
        <v>585</v>
      </c>
      <c r="B187" s="57" t="str">
        <f>VLOOKUP($A187,Questions!$A$3:$X$333,2,0)&amp;""</f>
        <v>Do you regularly scan for common web application security vulnerabilities (e.g., SQL injection, XSS, XSRF, etc.)?</v>
      </c>
      <c r="C187" s="57" t="str">
        <f>VLOOKUP($A187,Questions!$A$3:$X$333,19,0)&amp;""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v>
      </c>
      <c r="D187" s="57" t="str">
        <f>VLOOKUP($A187,Questions!$A$3:$X$333,20,0)&amp;""</f>
        <v>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v>
      </c>
    </row>
    <row r="188" spans="1:5" ht="91.5" customHeight="1" x14ac:dyDescent="0.3">
      <c r="A188" s="57" t="s">
        <v>587</v>
      </c>
      <c r="B188" s="57" t="str">
        <f>VLOOKUP($A188,Questions!$A$3:$X$333,2,0)&amp;""</f>
        <v>Are your systems and applications regularly scanned externally for vulnerabilities?</v>
      </c>
      <c r="C188" s="57" t="str">
        <f>VLOOKUP($A188,Questions!$A$3:$X$333,19,0)&amp;""</f>
        <v>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88" s="57" t="str">
        <f>VLOOKUP($A188,Questions!$A$3:$X$333,20,0)&amp;""</f>
        <v>If "no," inquire if there has ever been a vulnerability scan. A short lapse in external assessment validity can be understood (if there is a planned assessment), but a significant time lapse or no scan whatsoever is cause for elevated levels of concern.</v>
      </c>
    </row>
    <row r="189" spans="1:5" ht="17.399999999999999" x14ac:dyDescent="0.3">
      <c r="A189" s="63" t="str">
        <f>VLOOKUP(LEFT($A190,4),'Auto Responses'!$N$4:$O$38,2,0)&amp;""</f>
        <v xml:space="preserve"> IT Accessibility</v>
      </c>
      <c r="B189" s="63"/>
      <c r="C189" s="56" t="str">
        <f>Questions!$S$2</f>
        <v>Reason for Question</v>
      </c>
      <c r="D189" s="56" t="str">
        <f>Questions!$T$2</f>
        <v>Follow-Up Inquiries/Responses</v>
      </c>
    </row>
    <row r="190" spans="1:5" x14ac:dyDescent="0.3">
      <c r="A190" s="57" t="s">
        <v>93</v>
      </c>
      <c r="B190" s="57" t="str">
        <f>VLOOKUP($A190,Questions!$A$3:$X$333,2,0)&amp;""</f>
        <v>Solution Provider Accessibility Contact Name</v>
      </c>
      <c r="C190" s="57" t="str">
        <f>VLOOKUP($A190,Questions!$A$3:$X$333,19,0)&amp;""</f>
        <v/>
      </c>
      <c r="D190" s="57" t="str">
        <f>VLOOKUP($A190,Questions!$A$3:$X$333,20,0)&amp;""</f>
        <v/>
      </c>
      <c r="E190" s="60"/>
    </row>
    <row r="191" spans="1:5" x14ac:dyDescent="0.3">
      <c r="A191" s="57" t="s">
        <v>94</v>
      </c>
      <c r="B191" s="57" t="str">
        <f>VLOOKUP($A191,Questions!$A$3:$X$333,2,0)&amp;""</f>
        <v>Solution Provider Accessibility Contact Title</v>
      </c>
      <c r="C191" s="57" t="str">
        <f>VLOOKUP($A191,Questions!$A$3:$X$333,19,0)&amp;""</f>
        <v/>
      </c>
      <c r="D191" s="57" t="str">
        <f>VLOOKUP($A191,Questions!$A$3:$X$333,20,0)&amp;""</f>
        <v/>
      </c>
    </row>
    <row r="192" spans="1:5" x14ac:dyDescent="0.3">
      <c r="A192" s="57" t="s">
        <v>95</v>
      </c>
      <c r="B192" s="57" t="str">
        <f>VLOOKUP($A192,Questions!$A$3:$X$333,2,0)&amp;""</f>
        <v>Solution Provider Accessibility Contact Email</v>
      </c>
      <c r="C192" s="57" t="str">
        <f>VLOOKUP($A192,Questions!$A$3:$X$333,19,0)&amp;""</f>
        <v/>
      </c>
      <c r="D192" s="57" t="str">
        <f>VLOOKUP($A192,Questions!$A$3:$X$333,20,0)&amp;""</f>
        <v/>
      </c>
    </row>
    <row r="193" spans="1:5" x14ac:dyDescent="0.3">
      <c r="A193" s="57" t="s">
        <v>96</v>
      </c>
      <c r="B193" s="57" t="str">
        <f>VLOOKUP($A193,Questions!$A$3:$X$333,2,0)&amp;""</f>
        <v>Solution Provider Accessibility Contact Phone Number</v>
      </c>
      <c r="C193" s="57" t="str">
        <f>VLOOKUP($A193,Questions!$A$3:$X$333,19,0)&amp;""</f>
        <v/>
      </c>
      <c r="D193" s="57" t="str">
        <f>VLOOKUP($A193,Questions!$A$3:$X$333,20,0)&amp;""</f>
        <v/>
      </c>
      <c r="E193" s="51"/>
    </row>
    <row r="194" spans="1:5" x14ac:dyDescent="0.25">
      <c r="A194" s="57" t="s">
        <v>97</v>
      </c>
      <c r="B194" s="57" t="str">
        <f>VLOOKUP($A194,Questions!$A$3:$X$333,2,0)&amp;""</f>
        <v>Web Link to Accessibility Statement or VPAT</v>
      </c>
      <c r="C194" s="57" t="str">
        <f>VLOOKUP($A194,Questions!$A$3:$X$333,19,0)&amp;""</f>
        <v/>
      </c>
      <c r="D194" s="57" t="str">
        <f>VLOOKUP($A194,Questions!$A$3:$X$333,20,0)&amp;""</f>
        <v/>
      </c>
      <c r="E194" s="241" t="s">
        <v>1454</v>
      </c>
    </row>
    <row r="195" spans="1:5" ht="82.8" x14ac:dyDescent="0.3">
      <c r="A195" s="57" t="s">
        <v>101</v>
      </c>
      <c r="B195" s="57" t="str">
        <f>VLOOKUP($A195,Questions!$A$3:$X$333,2,0)&amp;""</f>
        <v>Has a VPAT or ACR been created or updated for the solution and version under consideration within the past 12 months?*</v>
      </c>
      <c r="C195" s="57" t="str">
        <f>VLOOKUP($A195,Questions!$A$3:$X$333,19,0)&amp;""</f>
        <v>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v>
      </c>
      <c r="D195" s="57" t="str">
        <f>VLOOKUP($A195,Questions!$A$3:$X$333,20,0)&amp;""</f>
        <v>Cross-reference Accessibility Conformance Reports (ACR) with any answers from ITAC-14 about product roadmaps for accessibility improvements.</v>
      </c>
    </row>
    <row r="196" spans="1:5" ht="74.25" customHeight="1" x14ac:dyDescent="0.3">
      <c r="A196" s="57" t="s">
        <v>103</v>
      </c>
      <c r="B196" s="57" t="str">
        <f>VLOOKUP($A196,Questions!$A$3:$X$333,2,0)&amp;""</f>
        <v>Will your company agree to meet your stated accessibility standard or WCAG 2.1 AA as part of your contractual agreement for the solution?*</v>
      </c>
      <c r="C196" s="57" t="str">
        <f>VLOOKUP($A196,Questions!$A$3:$X$333,19,0)&amp;""</f>
        <v xml:space="preserve">Federal regulation requires that technology products conform to WCAG 2.1 AA. Technology platforms that do not substantially conform to this standard put schools at risk of not complying with these requirements. </v>
      </c>
      <c r="D196" s="57" t="str">
        <f>VLOOKUP($A196,Questions!$A$3:$X$333,20,0)&amp;""</f>
        <v/>
      </c>
    </row>
    <row r="197" spans="1:5" ht="57.75" customHeight="1" x14ac:dyDescent="0.3">
      <c r="A197" s="57" t="s">
        <v>106</v>
      </c>
      <c r="B197" s="57" t="str">
        <f>VLOOKUP($A197,Questions!$A$3:$X$333,2,0)&amp;""</f>
        <v>Does the solution substantially conform to WCAG 2.1 AA?*</v>
      </c>
      <c r="C197" s="57" t="str">
        <f>VLOOKUP($A197,Questions!$A$3:$X$333,19,0)&amp;""</f>
        <v xml:space="preserve">Federal regulation requires that technology products conform to WCAG 2.1 AA. Technology platforms that do not substantially conform to this standard put schools at risk of not complying with these requirements. </v>
      </c>
      <c r="D197" s="57" t="str">
        <f>VLOOKUP($A197,Questions!$A$3:$X$333,20,0)&amp;""</f>
        <v/>
      </c>
    </row>
    <row r="198" spans="1:5" ht="74.25" customHeight="1" x14ac:dyDescent="0.3">
      <c r="A198" s="57" t="s">
        <v>108</v>
      </c>
      <c r="B198" s="57" t="str">
        <f>VLOOKUP($A198,Questions!$A$3:$X$333,2,0)&amp;""</f>
        <v>Do you have a documented and implemented process for reporting and tracking accessibility issues?*</v>
      </c>
      <c r="C198" s="57" t="str">
        <f>VLOOKUP($A198,Questions!$A$3:$X$333,19,0)&amp;""</f>
        <v/>
      </c>
      <c r="D198" s="57" t="str">
        <f>VLOOKUP($A198,Questions!$A$3:$X$333,20,0)&amp;""</f>
        <v>What is the prioritization of accessibility issues received, and how are they tracked? Is there a regular cadence for tracking and addressing accessibility barriers?</v>
      </c>
    </row>
    <row r="199" spans="1:5" ht="81" customHeight="1" x14ac:dyDescent="0.25">
      <c r="A199" s="57" t="s">
        <v>111</v>
      </c>
      <c r="B199" s="57" t="str">
        <f>VLOOKUP($A199,Questions!$A$3:$X$333,2,0)&amp;""</f>
        <v>Do you have documentation to support the accessibility features of your solution?</v>
      </c>
      <c r="C199" s="57" t="str">
        <f>VLOOKUP($A199,Questions!$A$3:$X$333,19,0)&amp;""</f>
        <v>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v>
      </c>
      <c r="D199" s="57" t="str">
        <f>VLOOKUP($A199,Questions!$A$3:$X$333,20,0)&amp;""</f>
        <v>If claims are made about accessibility and there is no supporting documentation on how they can be achieved, ensure that intended configurations and uses of the product in question were assessed for any accessibility documentation or claims.</v>
      </c>
      <c r="E199" s="241" t="s">
        <v>1454</v>
      </c>
    </row>
    <row r="200" spans="1:5" ht="41.4" x14ac:dyDescent="0.3">
      <c r="A200" s="57" t="s">
        <v>112</v>
      </c>
      <c r="B200" s="57" t="str">
        <f>VLOOKUP($A200,Questions!$A$3:$X$333,2,0)&amp;""</f>
        <v>Has a third-party expert conducted an audit of the most recent version of your solution?</v>
      </c>
      <c r="C200" s="57" t="str">
        <f>VLOOKUP($A200,Questions!$A$3:$X$333,19,0)&amp;""</f>
        <v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v>
      </c>
      <c r="D200" s="57" t="str">
        <f>VLOOKUP($A200,Questions!$A$3:$X$333,20,0)&amp;""</f>
        <v/>
      </c>
    </row>
    <row r="201" spans="1:5" ht="82.8" x14ac:dyDescent="0.3">
      <c r="A201" s="57" t="s">
        <v>113</v>
      </c>
      <c r="B201" s="57" t="str">
        <f>VLOOKUP($A201,Questions!$A$3:$X$333,2,0)&amp;""</f>
        <v>Do you have a documented and implemented process for verifying accessibility conformance?</v>
      </c>
      <c r="C201" s="57" t="str">
        <f>VLOOKUP($A201,Questions!$A$3:$X$333,19,0)&amp;""</f>
        <v>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v>
      </c>
      <c r="D201" s="57" t="str">
        <f>VLOOKUP($A201,Questions!$A$3:$X$333,20,0)&amp;""</f>
        <v/>
      </c>
    </row>
    <row r="202" spans="1:5" ht="62.25" customHeight="1" x14ac:dyDescent="0.3">
      <c r="A202" s="57" t="s">
        <v>114</v>
      </c>
      <c r="B202" s="57" t="str">
        <f>VLOOKUP($A202,Questions!$A$3:$X$333,2,0)&amp;""</f>
        <v>Have you adopted a technical or legal standard of conformance for the solution?</v>
      </c>
      <c r="C202" s="57" t="str">
        <f>VLOOKUP($A202,Questions!$A$3:$X$333,19,0)&amp;""</f>
        <v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v>
      </c>
      <c r="D202" s="57" t="str">
        <f>VLOOKUP($A202,Questions!$A$3:$X$333,20,0)&amp;""</f>
        <v/>
      </c>
    </row>
    <row r="203" spans="1:5" ht="66" customHeight="1" x14ac:dyDescent="0.3">
      <c r="A203" s="57" t="s">
        <v>116</v>
      </c>
      <c r="B203" s="57" t="str">
        <f>VLOOKUP($A203,Questions!$A$3:$X$333,2,0)&amp;""</f>
        <v>Can you provide a current, detailed accessibility roadmap with delivery timelines?</v>
      </c>
      <c r="C203" s="57" t="str">
        <f>VLOOKUP($A203,Questions!$A$3:$X$333,19,0)&amp;""</f>
        <v>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v>
      </c>
      <c r="D203" s="57" t="str">
        <f>VLOOKUP($A203,Questions!$A$3:$X$333,20,0)&amp;""</f>
        <v>If no roadmap is available, seek additional information from the solution provider such as release notes that address accessibility and any feedback from users that address the accessibility of the solution.</v>
      </c>
    </row>
    <row r="204" spans="1:5" ht="98.25" customHeight="1" x14ac:dyDescent="0.3">
      <c r="A204" s="57" t="s">
        <v>120</v>
      </c>
      <c r="B204" s="57" t="str">
        <f>VLOOKUP($A204,Questions!$A$3:$X$333,2,0)&amp;""</f>
        <v>Do you expect your staff to maintain a current skill set in IT accessibility?</v>
      </c>
      <c r="C204" s="57" t="str">
        <f>VLOOKUP($A204,Questions!$A$3:$X$333,19,0)&amp;""</f>
        <v>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v>
      </c>
      <c r="D204" s="57" t="str">
        <f>VLOOKUP($A204,Questions!$A$3:$X$333,20,0)&amp;""</f>
        <v/>
      </c>
    </row>
    <row r="205" spans="1:5" ht="81" customHeight="1" x14ac:dyDescent="0.3">
      <c r="A205" s="57" t="s">
        <v>123</v>
      </c>
      <c r="B205" s="57" t="str">
        <f>VLOOKUP($A205,Questions!$A$3:$X$333,2,0)&amp;""</f>
        <v>Do you have documented processes and procedures for implementing accessibility into your development lifecycle?</v>
      </c>
      <c r="C205" s="57" t="str">
        <f>VLOOKUP($A205,Questions!$A$3:$X$333,19,0)&amp;""</f>
        <v>This question is designed to understand how accessibility is included in new versions and features of solutions, particularly with solution providers that implement Agile or similar methodologies where software is updated frequently and continuously.</v>
      </c>
      <c r="D205" s="57" t="str">
        <f>VLOOKUP($A205,Questions!$A$3:$X$333,20,0)&amp;""</f>
        <v/>
      </c>
    </row>
    <row r="206" spans="1:5" ht="89.25" customHeight="1" x14ac:dyDescent="0.25">
      <c r="A206" s="57" t="s">
        <v>126</v>
      </c>
      <c r="B206" s="57" t="str">
        <f>VLOOKUP($A206,Questions!$A$3:$X$333,2,0)&amp;""</f>
        <v>Can all functions of the application or service be performed using only the keyboard?</v>
      </c>
      <c r="C206" s="57" t="str">
        <f>VLOOKUP($A206,Questions!$A$3:$X$333,19,0)&amp;""</f>
        <v>One critical accessibility requirement is the full use of a product using only the keyboard, -no mouse or trackpad. This requirement is easy for a nontechnical or non-accessibility expert to understand and verify.</v>
      </c>
      <c r="D206" s="57" t="str">
        <f>VLOOKUP($A206,Questions!$A$3:$X$333,20,0)&amp;""</f>
        <v>To confirm keyboard-only claims, follow the how-to at Minimum Expectations for applications webpage &lt;https://go.iu.edu/minimum-expectations&gt; from Indiana University or reference WebAIM’s Keyboard Testing guidance &lt;https://webaim.org/techniques/keyboard/#testing&gt;.</v>
      </c>
      <c r="E206" s="241" t="s">
        <v>1454</v>
      </c>
    </row>
    <row r="207" spans="1:5" ht="69" x14ac:dyDescent="0.3">
      <c r="A207" s="57" t="s">
        <v>129</v>
      </c>
      <c r="B207" s="57" t="str">
        <f>VLOOKUP($A207,Questions!$A$3:$X$333,2,0)&amp;""</f>
        <v>Does your product rely on activating a special "accessibility mode," a "lite version," or using an alternate interface (including “overlay” or AI-based alternates)  for accessibility purposes?</v>
      </c>
      <c r="C207" s="57" t="str">
        <f>VLOOKUP($A207,Questions!$A$3:$X$333,19,0)&amp;""</f>
        <v>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v>
      </c>
      <c r="D207" s="57" t="str">
        <f>VLOOKUP($A207,Questions!$A$3:$X$333,20,0)&amp;""</f>
        <v/>
      </c>
    </row>
    <row r="208" spans="1:5" ht="17.399999999999999" x14ac:dyDescent="0.3">
      <c r="A208" s="63" t="str">
        <f>VLOOKUP(LEFT($A209,4),'Auto Responses'!$N$4:$O$38,2,0)&amp;""</f>
        <v xml:space="preserve"> Consulting Services</v>
      </c>
      <c r="B208" s="63"/>
      <c r="C208" s="56" t="str">
        <f>Questions!$S$2</f>
        <v>Reason for Question</v>
      </c>
      <c r="D208" s="56" t="str">
        <f>Questions!$T$2</f>
        <v>Follow-Up Inquiries/Responses</v>
      </c>
      <c r="E208" s="60"/>
    </row>
    <row r="209" spans="1:5" ht="41.4" x14ac:dyDescent="0.3">
      <c r="A209" s="57" t="s">
        <v>145</v>
      </c>
      <c r="B209" s="57" t="str">
        <f>VLOOKUP($A209,Questions!$A$3:$X$333,2,0)&amp;""</f>
        <v>Will the consultant require access to the institution's network resources?*</v>
      </c>
      <c r="C209" s="57" t="str">
        <f>VLOOKUP($A209,Questions!$A$3:$X$333,19,0)&amp;""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9" s="57" t="str">
        <f>VLOOKUP($A209,Questions!$A$3:$X$333,20,0)&amp;""</f>
        <v>Follow-up inquiries will be institution/implementation specific.</v>
      </c>
      <c r="E209" s="60"/>
    </row>
    <row r="210" spans="1:5" ht="41.4" x14ac:dyDescent="0.3">
      <c r="A210" s="57" t="s">
        <v>149</v>
      </c>
      <c r="B210" s="57" t="str">
        <f>VLOOKUP($A210,Questions!$A$3:$X$333,2,0)&amp;""</f>
        <v>Has the consultant received training on (sensitive, HIPAA, PCI, etc.) data handling?*</v>
      </c>
      <c r="C210" s="57" t="str">
        <f>VLOOKUP($A210,Questions!$A$3:$X$333,19,0)&amp;""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0" s="57" t="str">
        <f>VLOOKUP($A210,Questions!$A$3:$X$333,20,0)&amp;""</f>
        <v>Follow-up inquiries will be institution/implementation specific.</v>
      </c>
      <c r="E210" s="58"/>
    </row>
    <row r="211" spans="1:5" ht="41.4" x14ac:dyDescent="0.3">
      <c r="A211" s="57" t="s">
        <v>150</v>
      </c>
      <c r="B211" s="57" t="str">
        <f>VLOOKUP($A211,Questions!$A$3:$X$333,2,0)&amp;""</f>
        <v>Is the data encrypted (at rest) while in the consultant's possession?*</v>
      </c>
      <c r="C211" s="57" t="str">
        <f>VLOOKUP($A211,Questions!$A$3:$X$333,19,0)&amp;""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1" s="57" t="str">
        <f>VLOOKUP($A211,Questions!$A$3:$X$333,20,0)&amp;""</f>
        <v>Follow-up inquiries will be institution/implementation specific.</v>
      </c>
    </row>
    <row r="212" spans="1:5" ht="41.4" x14ac:dyDescent="0.3">
      <c r="A212" s="57" t="s">
        <v>152</v>
      </c>
      <c r="B212" s="57" t="str">
        <f>VLOOKUP($A212,Questions!$A$3:$X$333,2,0)&amp;""</f>
        <v>Can access be restricted based on source IP address?*</v>
      </c>
      <c r="C212" s="57" t="str">
        <f>VLOOKUP($A212,Questions!$A$3:$X$333,19,0)&amp;""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2" s="57" t="str">
        <f>VLOOKUP($A212,Questions!$A$3:$X$333,20,0)&amp;""</f>
        <v>Follow-up inquiries will be institution/implementation specific.</v>
      </c>
      <c r="E212" s="60"/>
    </row>
    <row r="213" spans="1:5" ht="41.4" x14ac:dyDescent="0.3">
      <c r="A213" s="57" t="s">
        <v>154</v>
      </c>
      <c r="B213" s="57" t="str">
        <f>VLOOKUP($A213,Questions!$A$3:$X$333,2,0)&amp;""</f>
        <v>Will the consulting take place on-premises?</v>
      </c>
      <c r="C213" s="57" t="str">
        <f>VLOOKUP($A213,Questions!$A$3:$X$333,19,0)&amp;""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3" s="57" t="str">
        <f>VLOOKUP($A213,Questions!$A$3:$X$333,20,0)&amp;""</f>
        <v>Follow-up inquiries will be institution/implementation specific.</v>
      </c>
      <c r="E213" s="60"/>
    </row>
    <row r="214" spans="1:5" ht="41.4" x14ac:dyDescent="0.3">
      <c r="A214" s="57" t="s">
        <v>155</v>
      </c>
      <c r="B214" s="57" t="str">
        <f>VLOOKUP($A214,Questions!$A$3:$X$333,2,0)&amp;""</f>
        <v>Will the consultant require access to hardware in the institution's data centers?</v>
      </c>
      <c r="C214" s="57" t="str">
        <f>VLOOKUP($A214,Questions!$A$3:$X$333,19,0)&amp;""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4" s="57" t="str">
        <f>VLOOKUP($A214,Questions!$A$3:$X$333,20,0)&amp;""</f>
        <v>Follow-up inquiries will be institution/implementation specific.</v>
      </c>
      <c r="E214" s="60"/>
    </row>
    <row r="215" spans="1:5" ht="41.4" x14ac:dyDescent="0.3">
      <c r="A215" s="57" t="s">
        <v>157</v>
      </c>
      <c r="B215" s="57" t="str">
        <f>VLOOKUP($A215,Questions!$A$3:$X$333,2,0)&amp;""</f>
        <v>Will the consultant require an account within the institution's domain (@*.edu)?</v>
      </c>
      <c r="C215" s="57" t="str">
        <f>VLOOKUP($A215,Questions!$A$3:$X$333,19,0)&amp;""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5" s="57" t="str">
        <f>VLOOKUP($A215,Questions!$A$3:$X$333,20,0)&amp;""</f>
        <v>Follow-up inquiries will be institution/implementation specific.</v>
      </c>
      <c r="E215" s="58"/>
    </row>
    <row r="216" spans="1:5" ht="41.4" x14ac:dyDescent="0.3">
      <c r="A216" s="57" t="s">
        <v>158</v>
      </c>
      <c r="B216" s="57" t="str">
        <f>VLOOKUP($A216,Questions!$A$3:$X$333,2,0)&amp;""</f>
        <v>Will any data be transferred to the consultant's possession?</v>
      </c>
      <c r="C216" s="57" t="str">
        <f>VLOOKUP($A216,Questions!$A$3:$X$333,19,0)&amp;""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6" s="57" t="str">
        <f>VLOOKUP($A216,Questions!$A$3:$X$333,20,0)&amp;""</f>
        <v>Follow-up inquiries will be institution/implementation specific.</v>
      </c>
    </row>
    <row r="217" spans="1:5" ht="41.4" x14ac:dyDescent="0.3">
      <c r="A217" s="57" t="s">
        <v>160</v>
      </c>
      <c r="B217" s="57" t="str">
        <f>VLOOKUP($A217,Questions!$A$3:$X$333,2,0)&amp;""</f>
        <v>Will the consultant need remote access to the institution's network or systems?</v>
      </c>
      <c r="C217" s="57" t="str">
        <f>VLOOKUP($A217,Questions!$A$3:$X$333,19,0)&amp;""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17" s="57" t="str">
        <f>VLOOKUP($A217,Questions!$A$3:$X$333,20,0)&amp;""</f>
        <v>Follow-up inquiries will be institution/implementation specific.</v>
      </c>
    </row>
    <row r="218" spans="1:5" ht="42.75" customHeight="1" x14ac:dyDescent="0.3">
      <c r="A218" s="63" t="str">
        <f>VLOOKUP(LEFT($A219,4),'Auto Responses'!$N$4:$O$38,2,0)&amp;""</f>
        <v xml:space="preserve">HIPAA Compliance </v>
      </c>
      <c r="B218" s="63"/>
      <c r="C218" s="56" t="str">
        <f>Questions!$S$2</f>
        <v>Reason for Question</v>
      </c>
      <c r="D218" s="56" t="str">
        <f>Questions!$T$2</f>
        <v>Follow-Up Inquiries/Responses</v>
      </c>
    </row>
    <row r="219" spans="1:5" ht="53.25" customHeight="1" x14ac:dyDescent="0.3">
      <c r="A219" s="57" t="s">
        <v>590</v>
      </c>
      <c r="B219" s="57" t="str">
        <f>VLOOKUP($A219,Questions!$A$3:$X$333,2,0)&amp;""</f>
        <v>Do your workforce members receive regular training related to the Health Insurance Portability and Accountability Act (HIPAA) Privacy and Security Rules and the HITECH Act?*</v>
      </c>
      <c r="C219" s="57" t="str">
        <f>VLOOKUP($A219,Questions!$A$3:$X$333,19,0)&amp;""</f>
        <v>HIPAA</v>
      </c>
      <c r="D219" s="57" t="str">
        <f>VLOOKUP($A219,Questions!$A$3:$X$333,20,0)&amp;""</f>
        <v>Refer to HIPAA documentation or your institution's Chief HIPAA Security Officer.</v>
      </c>
    </row>
    <row r="220" spans="1:5" ht="39.75" customHeight="1" x14ac:dyDescent="0.3">
      <c r="A220" s="57" t="s">
        <v>595</v>
      </c>
      <c r="B220" s="57" t="str">
        <f>VLOOKUP($A220,Questions!$A$3:$X$333,2,0)&amp;""</f>
        <v>Have you identified areas of risk?*</v>
      </c>
      <c r="C220" s="57" t="str">
        <f>VLOOKUP($A220,Questions!$A$3:$X$333,19,0)&amp;""</f>
        <v>HIPAA</v>
      </c>
      <c r="D220" s="57" t="str">
        <f>VLOOKUP($A220,Questions!$A$3:$X$333,20,0)&amp;""</f>
        <v>Refer to HIPAA documentation or your institution's Chief HIPAA Security Officer.</v>
      </c>
    </row>
    <row r="221" spans="1:5" ht="40.5" customHeight="1" x14ac:dyDescent="0.3">
      <c r="A221" s="57" t="s">
        <v>597</v>
      </c>
      <c r="B221" s="57" t="str">
        <f>VLOOKUP($A221,Questions!$A$3:$X$333,2,0)&amp;""</f>
        <v>Have the relevant policies/plans been tested?*</v>
      </c>
      <c r="C221" s="57" t="str">
        <f>VLOOKUP($A221,Questions!$A$3:$X$333,19,0)&amp;""</f>
        <v>HIPAA</v>
      </c>
      <c r="D221" s="57" t="str">
        <f>VLOOKUP($A221,Questions!$A$3:$X$333,20,0)&amp;""</f>
        <v>Refer to HIPAA documentation or your institution's Chief HIPAA Security Officer.</v>
      </c>
      <c r="E221" s="51"/>
    </row>
    <row r="222" spans="1:5" ht="39" customHeight="1" x14ac:dyDescent="0.3">
      <c r="A222" s="57" t="s">
        <v>599</v>
      </c>
      <c r="B222" s="57" t="str">
        <f>VLOOKUP($A222,Questions!$A$3:$X$333,2,0)&amp;""</f>
        <v>Have you entered into a Business Associate Agreements with all subcontractors who may have access to protected health information (PHI)?*</v>
      </c>
      <c r="C222" s="57" t="str">
        <f>VLOOKUP($A222,Questions!$A$3:$X$333,19,0)&amp;""</f>
        <v>HIPAA</v>
      </c>
      <c r="D222" s="57" t="str">
        <f>VLOOKUP($A222,Questions!$A$3:$X$333,20,0)&amp;""</f>
        <v>Refer to HIPAA documentation or your institution's Chief HIPAA Security Officer.</v>
      </c>
    </row>
    <row r="223" spans="1:5" ht="23.25" customHeight="1" x14ac:dyDescent="0.3">
      <c r="A223" s="57" t="s">
        <v>601</v>
      </c>
      <c r="B223" s="57" t="str">
        <f>VLOOKUP($A223,Questions!$A$3:$X$333,2,0)&amp;""</f>
        <v>Do you monitor or receive information regarding changes in HIPAA regulations?</v>
      </c>
      <c r="C223" s="57" t="str">
        <f>VLOOKUP($A223,Questions!$A$3:$X$333,19,0)&amp;""</f>
        <v>HIPAA</v>
      </c>
      <c r="D223" s="57" t="str">
        <f>VLOOKUP($A223,Questions!$A$3:$X$333,20,0)&amp;""</f>
        <v>Refer to HIPAA documentation or your institution's Chief HIPAA Security Officer.</v>
      </c>
    </row>
    <row r="224" spans="1:5" ht="39.75" customHeight="1" x14ac:dyDescent="0.3">
      <c r="A224" s="57" t="s">
        <v>602</v>
      </c>
      <c r="B224" s="57" t="str">
        <f>VLOOKUP($A224,Questions!$A$3:$X$333,2,0)&amp;""</f>
        <v>Has your organization designated HIPAA Privacy and Security officers as required by the rules?</v>
      </c>
      <c r="C224" s="57" t="str">
        <f>VLOOKUP($A224,Questions!$A$3:$X$333,19,0)&amp;""</f>
        <v>HIPAA</v>
      </c>
      <c r="D224" s="57" t="str">
        <f>VLOOKUP($A224,Questions!$A$3:$X$333,20,0)&amp;""</f>
        <v>Refer to HIPAA documentation or your institution's Chief HIPAA Security Officer.</v>
      </c>
    </row>
    <row r="225" spans="1:5" ht="38.25" customHeight="1" x14ac:dyDescent="0.3">
      <c r="A225" s="57" t="s">
        <v>603</v>
      </c>
      <c r="B225" s="57" t="str">
        <f>VLOOKUP($A225,Questions!$A$3:$X$333,2,0)&amp;""</f>
        <v>Do you comply with the requirements of the Health Information Technology for Economic and Clinical Health Act (HITECH)?</v>
      </c>
      <c r="C225" s="57" t="str">
        <f>VLOOKUP($A225,Questions!$A$3:$X$333,19,0)&amp;""</f>
        <v>HIPAA</v>
      </c>
      <c r="D225" s="57" t="str">
        <f>VLOOKUP($A225,Questions!$A$3:$X$333,20,0)&amp;""</f>
        <v>Refer to HIPAA documentation or your institution's Chief HIPAA Security Officer.</v>
      </c>
    </row>
    <row r="226" spans="1:5" ht="36" customHeight="1" x14ac:dyDescent="0.3">
      <c r="A226" s="57" t="s">
        <v>605</v>
      </c>
      <c r="B226" s="57" t="str">
        <f>VLOOKUP($A226,Questions!$A$3:$X$333,2,0)&amp;""</f>
        <v>Have you conducted a risk analysis as required under the HIPAA Security Rule?</v>
      </c>
      <c r="C226" s="57" t="str">
        <f>VLOOKUP($A226,Questions!$A$3:$X$333,19,0)&amp;""</f>
        <v>HIPAA</v>
      </c>
      <c r="D226" s="57" t="str">
        <f>VLOOKUP($A226,Questions!$A$3:$X$333,20,0)&amp;""</f>
        <v>Refer to HIPAA documentation or your institution's Chief HIPAA Security Officer.</v>
      </c>
    </row>
    <row r="227" spans="1:5" x14ac:dyDescent="0.3">
      <c r="A227" s="57" t="s">
        <v>607</v>
      </c>
      <c r="B227" s="57" t="str">
        <f>VLOOKUP($A227,Questions!$A$3:$X$333,2,0)&amp;""</f>
        <v>Have you taken actions to mitigate the identified risks?</v>
      </c>
      <c r="C227" s="57" t="str">
        <f>VLOOKUP($A227,Questions!$A$3:$X$333,19,0)&amp;""</f>
        <v>HIPAA</v>
      </c>
      <c r="D227" s="57" t="str">
        <f>VLOOKUP($A227,Questions!$A$3:$X$333,20,0)&amp;""</f>
        <v>Refer to HIPAA documentation or your institution's Chief HIPAA Security Officer.</v>
      </c>
    </row>
    <row r="228" spans="1:5" ht="34.5" customHeight="1" x14ac:dyDescent="0.3">
      <c r="A228" s="57" t="s">
        <v>609</v>
      </c>
      <c r="B228" s="57" t="str">
        <f>VLOOKUP($A228,Questions!$A$3:$X$333,2,0)&amp;""</f>
        <v>Does your application require user and system administrator password changes at a frequency no greater than 90 days?</v>
      </c>
      <c r="C228" s="57" t="str">
        <f>VLOOKUP($A228,Questions!$A$3:$X$333,19,0)&amp;""</f>
        <v>HIPAA</v>
      </c>
      <c r="D228" s="57" t="str">
        <f>VLOOKUP($A228,Questions!$A$3:$X$333,20,0)&amp;""</f>
        <v>Refer to HIPAA documentation or your institution's Chief HIPAA Security Officer.</v>
      </c>
      <c r="E228" s="51"/>
    </row>
    <row r="229" spans="1:5" ht="52.5" customHeight="1" x14ac:dyDescent="0.3">
      <c r="A229" s="57" t="s">
        <v>611</v>
      </c>
      <c r="B229" s="57" t="str">
        <f>VLOOKUP($A229,Questions!$A$3:$X$333,2,0)&amp;""</f>
        <v>Does your application require users to set their own password after an administrator reset or on first use of the account?</v>
      </c>
      <c r="C229" s="57" t="str">
        <f>VLOOKUP($A229,Questions!$A$3:$X$333,19,0)&amp;""</f>
        <v>HIPAA</v>
      </c>
      <c r="D229" s="57" t="str">
        <f>VLOOKUP($A229,Questions!$A$3:$X$333,20,0)&amp;""</f>
        <v>Refer to HIPAA documentation or your institution's Chief HIPAA Security Officer.</v>
      </c>
    </row>
    <row r="230" spans="1:5" ht="21" customHeight="1" x14ac:dyDescent="0.3">
      <c r="A230" s="57" t="s">
        <v>613</v>
      </c>
      <c r="B230" s="57" t="str">
        <f>VLOOKUP($A230,Questions!$A$3:$X$333,2,0)&amp;""</f>
        <v>Does your application lock out an account after a number of failed login attempts?</v>
      </c>
      <c r="C230" s="57" t="str">
        <f>VLOOKUP($A230,Questions!$A$3:$X$333,19,0)&amp;""</f>
        <v>HIPAA</v>
      </c>
      <c r="D230" s="57" t="str">
        <f>VLOOKUP($A230,Questions!$A$3:$X$333,20,0)&amp;""</f>
        <v>Refer to HIPAA documentation or your institution's Chief HIPAA Security Officer.</v>
      </c>
    </row>
    <row r="231" spans="1:5" ht="23.25" customHeight="1" x14ac:dyDescent="0.3">
      <c r="A231" s="57" t="s">
        <v>615</v>
      </c>
      <c r="B231" s="57" t="str">
        <f>VLOOKUP($A231,Questions!$A$3:$X$333,2,0)&amp;""</f>
        <v>Does your application automatically lock or log-out an account after a period of inactivity?</v>
      </c>
      <c r="C231" s="57" t="str">
        <f>VLOOKUP($A231,Questions!$A$3:$X$333,19,0)&amp;""</f>
        <v>HIPAA</v>
      </c>
      <c r="D231" s="57" t="str">
        <f>VLOOKUP($A231,Questions!$A$3:$X$333,20,0)&amp;""</f>
        <v>Refer to HIPAA documentation or your institution's Chief HIPAA Security Officer.</v>
      </c>
    </row>
    <row r="232" spans="1:5" ht="24.75" customHeight="1" x14ac:dyDescent="0.3">
      <c r="A232" s="57" t="s">
        <v>617</v>
      </c>
      <c r="B232" s="57" t="str">
        <f>VLOOKUP($A232,Questions!$A$3:$X$333,2,0)&amp;""</f>
        <v>Are passwords visible in plain text, whether when stored or entered, including service level accounts (i.e., database accounts, etc.)?</v>
      </c>
      <c r="C232" s="57" t="str">
        <f>VLOOKUP($A232,Questions!$A$3:$X$333,19,0)&amp;""</f>
        <v>HIPAA</v>
      </c>
      <c r="D232" s="57" t="str">
        <f>VLOOKUP($A232,Questions!$A$3:$X$333,20,0)&amp;""</f>
        <v>Refer to HIPAA documentation or your institution's Chief HIPAA Security Officer.</v>
      </c>
    </row>
    <row r="233" spans="1:5" ht="39" customHeight="1" x14ac:dyDescent="0.3">
      <c r="A233" s="57" t="s">
        <v>619</v>
      </c>
      <c r="B233" s="57" t="str">
        <f>VLOOKUP($A233,Questions!$A$3:$X$333,2,0)&amp;""</f>
        <v>If the application is institution-hosted, can all service level and administrative account passwords be changed by the institution?</v>
      </c>
      <c r="C233" s="57" t="str">
        <f>VLOOKUP($A233,Questions!$A$3:$X$333,19,0)&amp;""</f>
        <v>HIPAA</v>
      </c>
      <c r="D233" s="57" t="str">
        <f>VLOOKUP($A233,Questions!$A$3:$X$333,20,0)&amp;""</f>
        <v>Refer to HIPAA documentation or your institution's Chief HIPAA Security Officer.</v>
      </c>
    </row>
    <row r="234" spans="1:5" ht="23.25" customHeight="1" x14ac:dyDescent="0.3">
      <c r="A234" s="57" t="s">
        <v>621</v>
      </c>
      <c r="B234" s="57" t="str">
        <f>VLOOKUP($A234,Questions!$A$3:$X$333,2,0)&amp;""</f>
        <v>Does your application provide the ability to define user access levels?</v>
      </c>
      <c r="C234" s="57" t="str">
        <f>VLOOKUP($A234,Questions!$A$3:$X$333,19,0)&amp;""</f>
        <v>HIPAA</v>
      </c>
      <c r="D234" s="57" t="str">
        <f>VLOOKUP($A234,Questions!$A$3:$X$333,20,0)&amp;""</f>
        <v>Refer to HIPAA documentation or your institution's Chief HIPAA Security Officer.</v>
      </c>
    </row>
    <row r="235" spans="1:5" ht="22.5" customHeight="1" x14ac:dyDescent="0.3">
      <c r="A235" s="57" t="s">
        <v>623</v>
      </c>
      <c r="B235" s="57" t="str">
        <f>VLOOKUP($A235,Questions!$A$3:$X$333,2,0)&amp;""</f>
        <v>Does your application support varying levels of access to administrative tasks defined individually per user?</v>
      </c>
      <c r="C235" s="57" t="str">
        <f>VLOOKUP($A235,Questions!$A$3:$X$333,19,0)&amp;""</f>
        <v>HIPAA</v>
      </c>
      <c r="D235" s="57" t="str">
        <f>VLOOKUP($A235,Questions!$A$3:$X$333,20,0)&amp;""</f>
        <v>Refer to HIPAA documentation or your institution's Chief HIPAA Security Officer.</v>
      </c>
    </row>
    <row r="236" spans="1:5" ht="33" customHeight="1" x14ac:dyDescent="0.25">
      <c r="A236" s="57" t="s">
        <v>625</v>
      </c>
      <c r="B236" s="57" t="str">
        <f>VLOOKUP($A236,Questions!$A$3:$X$333,2,0)&amp;""</f>
        <v>Does your application support varying levels of access to records based on user ID?</v>
      </c>
      <c r="C236" s="57" t="str">
        <f>VLOOKUP($A236,Questions!$A$3:$X$333,19,0)&amp;""</f>
        <v>HIPAA</v>
      </c>
      <c r="D236" s="57" t="str">
        <f>VLOOKUP($A236,Questions!$A$3:$X$333,20,0)&amp;""</f>
        <v>Refer to HIPAA documentation or your institution's Chief HIPAA Security Officer.</v>
      </c>
      <c r="E236" s="241" t="s">
        <v>1454</v>
      </c>
    </row>
    <row r="237" spans="1:5" x14ac:dyDescent="0.3">
      <c r="A237" s="57" t="s">
        <v>626</v>
      </c>
      <c r="B237" s="57" t="str">
        <f>VLOOKUP($A237,Questions!$A$3:$X$333,2,0)&amp;""</f>
        <v>Is there a limit to the number of groups to which a user can be assigned?</v>
      </c>
      <c r="C237" s="57" t="str">
        <f>VLOOKUP($A237,Questions!$A$3:$X$333,19,0)&amp;""</f>
        <v>HIPAA</v>
      </c>
      <c r="D237" s="57" t="str">
        <f>VLOOKUP($A237,Questions!$A$3:$X$333,20,0)&amp;""</f>
        <v>Refer to HIPAA documentation or your institution's Chief HIPAA Security Officer.</v>
      </c>
    </row>
    <row r="238" spans="1:5" ht="36" customHeight="1" x14ac:dyDescent="0.3">
      <c r="A238" s="57" t="s">
        <v>628</v>
      </c>
      <c r="B238" s="57" t="str">
        <f>VLOOKUP($A238,Questions!$A$3:$X$333,2,0)&amp;""</f>
        <v>Do accounts used for solution provider-supplied remote support abide by the same authentication policies and access logging as the rest of the system?</v>
      </c>
      <c r="C238" s="57" t="str">
        <f>VLOOKUP($A238,Questions!$A$3:$X$333,19,0)&amp;""</f>
        <v>HIPAA</v>
      </c>
      <c r="D238" s="57" t="str">
        <f>VLOOKUP($A238,Questions!$A$3:$X$333,20,0)&amp;""</f>
        <v>Refer to HIPAA documentation or your institution's Chief HIPAA Security Officer.</v>
      </c>
    </row>
    <row r="239" spans="1:5" ht="36.75" customHeight="1" x14ac:dyDescent="0.3">
      <c r="A239" s="57" t="s">
        <v>629</v>
      </c>
      <c r="B239" s="57" t="str">
        <f>VLOOKUP($A239,Questions!$A$3:$X$333,2,0)&amp;""</f>
        <v>Does the application log record access including specific user, date/time of access, and originating IP or device?</v>
      </c>
      <c r="C239" s="57" t="str">
        <f>VLOOKUP($A239,Questions!$A$3:$X$333,19,0)&amp;""</f>
        <v>HIPAA</v>
      </c>
      <c r="D239" s="57" t="str">
        <f>VLOOKUP($A239,Questions!$A$3:$X$333,20,0)&amp;""</f>
        <v>Refer to HIPAA documentation or your institution's Chief HIPAA Security Officer.</v>
      </c>
    </row>
    <row r="240" spans="1:5" ht="40.5" customHeight="1" x14ac:dyDescent="0.3">
      <c r="A240" s="57" t="s">
        <v>630</v>
      </c>
      <c r="B240" s="57" t="str">
        <f>VLOOKUP($A240,Questions!$A$3:$X$333,2,0)&amp;""</f>
        <v>Does the application log administrative activity, such as user account access changes and password changes, including specific user, date/time of changes, and originating IP or device?</v>
      </c>
      <c r="C240" s="57" t="str">
        <f>VLOOKUP($A240,Questions!$A$3:$X$333,19,0)&amp;""</f>
        <v>HIPAA</v>
      </c>
      <c r="D240" s="57" t="str">
        <f>VLOOKUP($A240,Questions!$A$3:$X$333,20,0)&amp;""</f>
        <v>Refer to HIPAA documentation or your institution's Chief HIPAA Security Officer.</v>
      </c>
    </row>
    <row r="241" spans="1:5" ht="39" customHeight="1" x14ac:dyDescent="0.3">
      <c r="A241" s="57" t="s">
        <v>632</v>
      </c>
      <c r="B241" s="57" t="str">
        <f>VLOOKUP($A241,Questions!$A$3:$X$333,2,0)&amp;""</f>
        <v>Do you retain logs for at least as long as required by HIPAA regulations?</v>
      </c>
      <c r="C241" s="57" t="str">
        <f>VLOOKUP($A241,Questions!$A$3:$X$333,19,0)&amp;""</f>
        <v>HIPAA</v>
      </c>
      <c r="D241" s="57" t="str">
        <f>VLOOKUP($A241,Questions!$A$3:$X$333,20,0)&amp;""</f>
        <v>Refer to HIPAA documentation or your institution's Chief HIPAA Security Officer.</v>
      </c>
    </row>
    <row r="242" spans="1:5" ht="38.25" customHeight="1" x14ac:dyDescent="0.3">
      <c r="A242" s="57" t="s">
        <v>634</v>
      </c>
      <c r="B242" s="57" t="str">
        <f>VLOOKUP($A242,Questions!$A$3:$X$333,2,0)&amp;""</f>
        <v>Can the application logs be archived?</v>
      </c>
      <c r="C242" s="57" t="str">
        <f>VLOOKUP($A242,Questions!$A$3:$X$333,19,0)&amp;""</f>
        <v>HIPAA</v>
      </c>
      <c r="D242" s="57" t="str">
        <f>VLOOKUP($A242,Questions!$A$3:$X$333,20,0)&amp;""</f>
        <v>Refer to HIPAA documentation or your institution's Chief HIPAA Security Officer.</v>
      </c>
    </row>
    <row r="243" spans="1:5" ht="28.5" customHeight="1" x14ac:dyDescent="0.3">
      <c r="A243" s="57" t="s">
        <v>636</v>
      </c>
      <c r="B243" s="57" t="str">
        <f>VLOOKUP($A243,Questions!$A$3:$X$333,2,0)&amp;""</f>
        <v>Can the application logs be saved externally?</v>
      </c>
      <c r="C243" s="57" t="str">
        <f>VLOOKUP($A243,Questions!$A$3:$X$333,19,0)&amp;""</f>
        <v>HIPAA</v>
      </c>
      <c r="D243" s="57" t="str">
        <f>VLOOKUP($A243,Questions!$A$3:$X$333,20,0)&amp;""</f>
        <v>Refer to HIPAA documentation or your institution's Chief HIPAA Security Officer.</v>
      </c>
    </row>
    <row r="244" spans="1:5" ht="29.25" customHeight="1" x14ac:dyDescent="0.3">
      <c r="A244" s="57" t="s">
        <v>638</v>
      </c>
      <c r="B244" s="57" t="str">
        <f>VLOOKUP($A244,Questions!$A$3:$X$333,2,0)&amp;""</f>
        <v>Do you have a disaster recovery plan and emergency mode operation plan?</v>
      </c>
      <c r="C244" s="57" t="str">
        <f>VLOOKUP($A244,Questions!$A$3:$X$333,19,0)&amp;""</f>
        <v>HIPAA</v>
      </c>
      <c r="D244" s="57" t="str">
        <f>VLOOKUP($A244,Questions!$A$3:$X$333,20,0)&amp;""</f>
        <v>Refer to HIPAA documentation or your institution's Chief HIPAA Security Officer.</v>
      </c>
    </row>
    <row r="245" spans="1:5" ht="26.25" customHeight="1" x14ac:dyDescent="0.3">
      <c r="A245" s="57" t="s">
        <v>639</v>
      </c>
      <c r="B245" s="57" t="str">
        <f>VLOOKUP($A245,Questions!$A$3:$X$333,2,0)&amp;""</f>
        <v>Can you provide a HIPAA compliance attestation document?</v>
      </c>
      <c r="C245" s="57" t="str">
        <f>VLOOKUP($A245,Questions!$A$3:$X$333,19,0)&amp;""</f>
        <v>HIPAA</v>
      </c>
      <c r="D245" s="57" t="str">
        <f>VLOOKUP($A245,Questions!$A$3:$X$333,20,0)&amp;""</f>
        <v>Refer to HIPAA documentation or your institution's Chief HIPAA Security Officer.</v>
      </c>
    </row>
    <row r="246" spans="1:5" ht="36.75" customHeight="1" x14ac:dyDescent="0.3">
      <c r="A246" s="57" t="s">
        <v>641</v>
      </c>
      <c r="B246" s="57" t="str">
        <f>VLOOKUP($A246,Questions!$A$3:$X$333,2,0)&amp;""</f>
        <v>Are you willing to enter into a Business Associate Agreement (BAA)?</v>
      </c>
      <c r="C246" s="57" t="str">
        <f>VLOOKUP($A246,Questions!$A$3:$X$333,19,0)&amp;""</f>
        <v>HIPAA</v>
      </c>
      <c r="D246" s="57" t="str">
        <f>VLOOKUP($A246,Questions!$A$3:$X$333,20,0)&amp;""</f>
        <v>Refer to HIPAA documentation or your institution's Chief HIPAA Security Officer.</v>
      </c>
    </row>
    <row r="247" spans="1:5" ht="22.5" customHeight="1" x14ac:dyDescent="0.3">
      <c r="A247" s="57" t="s">
        <v>643</v>
      </c>
      <c r="B247" s="57" t="str">
        <f>VLOOKUP($A247,Questions!$A$3:$X$333,2,0)&amp;""</f>
        <v>Do your data backup and retention policies and practices meet HIPAA requirements?</v>
      </c>
      <c r="C247" s="57" t="str">
        <f>VLOOKUP($A247,Questions!$A$3:$X$333,19,0)&amp;""</f>
        <v>HIPAA</v>
      </c>
      <c r="D247" s="57" t="str">
        <f>VLOOKUP($A247,Questions!$A$3:$X$333,20,0)&amp;""</f>
        <v>Refer to HIPAA documentation or your institution's Chief HIPAA Security Officer.</v>
      </c>
    </row>
    <row r="248" spans="1:5" ht="24.75" customHeight="1" x14ac:dyDescent="0.3">
      <c r="A248" s="63" t="str">
        <f>VLOOKUP(LEFT($A249,4),'Auto Responses'!$N$4:$O$38,2,0)&amp;""</f>
        <v xml:space="preserve"> Payment Card Industry Data Security Standard (PCI DSS)</v>
      </c>
      <c r="B248" s="63"/>
      <c r="C248" s="56" t="str">
        <f>Questions!$S$2</f>
        <v>Reason for Question</v>
      </c>
      <c r="D248" s="56" t="str">
        <f>Questions!$T$2</f>
        <v>Follow-Up Inquiries/Responses</v>
      </c>
    </row>
    <row r="249" spans="1:5" ht="51" customHeight="1" x14ac:dyDescent="0.25">
      <c r="A249" s="57" t="s">
        <v>644</v>
      </c>
      <c r="B249" s="57" t="str">
        <f>VLOOKUP($A249,Questions!$A$3:$X$333,2,0)&amp;""</f>
        <v>Do you have a current, executed within the past year, Attestation of Compliance (AoC) or Report on Compliance (RoC)?*</v>
      </c>
      <c r="C249" s="57" t="str">
        <f>VLOOKUP($A249,Questions!$A$3:$X$333,19,0)&amp;""</f>
        <v>PCI DSS</v>
      </c>
      <c r="D249" s="57" t="str">
        <f>VLOOKUP($A249,Questions!$A$3:$X$333,20,0)&amp;""</f>
        <v>Refer to PCI DSS documentation or your institution's treasurer's office.</v>
      </c>
      <c r="E249" s="241" t="s">
        <v>1454</v>
      </c>
    </row>
    <row r="250" spans="1:5" ht="27.6" x14ac:dyDescent="0.3">
      <c r="A250" s="57" t="s">
        <v>648</v>
      </c>
      <c r="B250" s="57" t="str">
        <f>VLOOKUP($A250,Questions!$A$3:$X$333,2,0)&amp;""</f>
        <v>Is the application listed as an approved Payment Application Data Security Standard (PA-DSS) application?*</v>
      </c>
      <c r="C250" s="57" t="str">
        <f>VLOOKUP($A250,Questions!$A$3:$X$333,19,0)&amp;""</f>
        <v>PCI DSS</v>
      </c>
      <c r="D250" s="57" t="str">
        <f>VLOOKUP($A250,Questions!$A$3:$X$333,20,0)&amp;""</f>
        <v>Refer to PCI DSS documentation or your institution's treasurer's office.</v>
      </c>
    </row>
    <row r="251" spans="1:5" ht="68.25" customHeight="1" x14ac:dyDescent="0.3">
      <c r="A251" s="57" t="s">
        <v>650</v>
      </c>
      <c r="B251" s="57" t="str">
        <f>VLOOKUP($A251,Questions!$A$3:$X$333,2,0)&amp;""</f>
        <v>Does the system or solutions use a third party to collect, store, process, or transmit cardholder (payment/credit/debt card) data?*</v>
      </c>
      <c r="C251" s="57" t="str">
        <f>VLOOKUP($A251,Questions!$A$3:$X$333,19,0)&amp;""</f>
        <v>PCI DSS</v>
      </c>
      <c r="D251" s="57" t="str">
        <f>VLOOKUP($A251,Questions!$A$3:$X$333,20,0)&amp;""</f>
        <v>Refer to PCI DSS documentation or your institution's treasurer's office.</v>
      </c>
    </row>
    <row r="252" spans="1:5" ht="71.25" customHeight="1" x14ac:dyDescent="0.3">
      <c r="A252" s="57" t="s">
        <v>651</v>
      </c>
      <c r="B252" s="57" t="str">
        <f>VLOOKUP($A252,Questions!$A$3:$X$333,2,0)&amp;""</f>
        <v>Do your systems or solutions store, process, or transmit cardholder (payment/credit/debt card) data?</v>
      </c>
      <c r="C252" s="57" t="str">
        <f>VLOOKUP($A252,Questions!$A$3:$X$333,19,0)&amp;""</f>
        <v>PCI DSS</v>
      </c>
      <c r="D252" s="57" t="str">
        <f>VLOOKUP($A252,Questions!$A$3:$X$333,20,0)&amp;""</f>
        <v>Refer to PCI DSS documentation or your institution's treasurer's office.</v>
      </c>
    </row>
    <row r="253" spans="1:5" ht="68.25" customHeight="1" x14ac:dyDescent="0.3">
      <c r="A253" s="57" t="s">
        <v>653</v>
      </c>
      <c r="B253" s="57" t="str">
        <f>VLOOKUP($A253,Questions!$A$3:$X$333,2,0)&amp;""</f>
        <v>Are you compliant with the Payment Card Industry Data Security Standard (PCI DSS)?</v>
      </c>
      <c r="C253" s="57" t="str">
        <f>VLOOKUP($A253,Questions!$A$3:$X$333,19,0)&amp;""</f>
        <v>PCI DSS</v>
      </c>
      <c r="D253" s="57" t="str">
        <f>VLOOKUP($A253,Questions!$A$3:$X$333,20,0)&amp;""</f>
        <v>Refer to PCI DSS documentation or your institution's treasurer's office.</v>
      </c>
    </row>
    <row r="254" spans="1:5" ht="76.5" customHeight="1" x14ac:dyDescent="0.3">
      <c r="A254" s="57" t="s">
        <v>654</v>
      </c>
      <c r="B254" s="57" t="str">
        <f>VLOOKUP($A254,Questions!$A$3:$X$333,2,0)&amp;""</f>
        <v>Are you classified as a service provider?</v>
      </c>
      <c r="C254" s="57" t="str">
        <f>VLOOKUP($A254,Questions!$A$3:$X$333,19,0)&amp;""</f>
        <v>PCI DSS</v>
      </c>
      <c r="D254" s="57" t="str">
        <f>VLOOKUP($A254,Questions!$A$3:$X$333,20,0)&amp;""</f>
        <v>Refer to PCI DSS documentation or your institution's treasurer's office.</v>
      </c>
    </row>
    <row r="255" spans="1:5" ht="81" customHeight="1" x14ac:dyDescent="0.3">
      <c r="A255" s="57" t="s">
        <v>656</v>
      </c>
      <c r="B255" s="57" t="str">
        <f>VLOOKUP($A255,Questions!$A$3:$X$333,2,0)&amp;""</f>
        <v>Are you on the list of Visa approved service providers?</v>
      </c>
      <c r="C255" s="57" t="str">
        <f>VLOOKUP($A255,Questions!$A$3:$X$333,19,0)&amp;""</f>
        <v>PCI DSS</v>
      </c>
      <c r="D255" s="57" t="str">
        <f>VLOOKUP($A255,Questions!$A$3:$X$333,20,0)&amp;""</f>
        <v>Refer to PCI DSS documentation or your institution's treasurer's office.</v>
      </c>
    </row>
    <row r="256" spans="1:5" ht="38.25" customHeight="1" x14ac:dyDescent="0.3">
      <c r="A256" s="57" t="s">
        <v>658</v>
      </c>
      <c r="B256" s="57" t="str">
        <f>VLOOKUP($A256,Questions!$A$3:$X$333,2,0)&amp;""</f>
        <v>Are you classified as a merchant? If so, what level (1, 2, 3, 4)?</v>
      </c>
      <c r="C256" s="57" t="str">
        <f>VLOOKUP($A256,Questions!$A$3:$X$333,19,0)&amp;""</f>
        <v>PCI DSS</v>
      </c>
      <c r="D256" s="57" t="str">
        <f>VLOOKUP($A256,Questions!$A$3:$X$333,20,0)&amp;""</f>
        <v>Refer to PCI DSS documentation or your institution's treasurer's office.</v>
      </c>
    </row>
    <row r="257" spans="1:5" ht="61.5" customHeight="1" x14ac:dyDescent="0.3">
      <c r="A257" s="57" t="s">
        <v>660</v>
      </c>
      <c r="B257" s="57" t="str">
        <f>VLOOKUP($A257,Questions!$A$3:$X$333,2,0)&amp;""</f>
        <v>Describe the architecture employed by the system to verify and authorize credit card transactions.</v>
      </c>
      <c r="C257" s="57" t="str">
        <f>VLOOKUP($A257,Questions!$A$3:$X$333,19,0)&amp;""</f>
        <v>PCI DSS</v>
      </c>
      <c r="D257" s="57" t="str">
        <f>VLOOKUP($A257,Questions!$A$3:$X$333,20,0)&amp;""</f>
        <v>Refer to PCI DSS documentation or your institution's treasurer's office.</v>
      </c>
    </row>
    <row r="258" spans="1:5" ht="54" customHeight="1" x14ac:dyDescent="0.3">
      <c r="A258" s="57" t="s">
        <v>661</v>
      </c>
      <c r="B258" s="57" t="str">
        <f>VLOOKUP($A258,Questions!$A$3:$X$333,2,0)&amp;""</f>
        <v>What payment processors/gateways does the system support?</v>
      </c>
      <c r="C258" s="57" t="str">
        <f>VLOOKUP($A258,Questions!$A$3:$X$333,19,0)&amp;""</f>
        <v>PCI DSS</v>
      </c>
      <c r="D258" s="57" t="str">
        <f>VLOOKUP($A258,Questions!$A$3:$X$333,20,0)&amp;""</f>
        <v>Refer to PCI DSS documentation or your institution's treasurer's office.</v>
      </c>
      <c r="E258" s="51"/>
    </row>
    <row r="259" spans="1:5" x14ac:dyDescent="0.3">
      <c r="A259" s="57" t="s">
        <v>662</v>
      </c>
      <c r="B259" s="57" t="str">
        <f>VLOOKUP($A259,Questions!$A$3:$X$333,2,0)&amp;""</f>
        <v>Can the application be installed in a PCI DSS–compliant manner?</v>
      </c>
      <c r="C259" s="57" t="str">
        <f>VLOOKUP($A259,Questions!$A$3:$X$333,19,0)&amp;""</f>
        <v>PCI DSS</v>
      </c>
      <c r="D259" s="57" t="str">
        <f>VLOOKUP($A259,Questions!$A$3:$X$333,20,0)&amp;""</f>
        <v>Refer to PCI DSS documentation or your institution's treasurer's office.</v>
      </c>
      <c r="E259" s="51"/>
    </row>
    <row r="260" spans="1:5" ht="60.75" customHeight="1" x14ac:dyDescent="0.25">
      <c r="A260" s="57" t="s">
        <v>663</v>
      </c>
      <c r="B260" s="57" t="str">
        <f>VLOOKUP($A260,Questions!$A$3:$X$333,2,0)&amp;""</f>
        <v>Include documentation describing the system's abilities to comply with the PCI DSS and any features or capabilities of the system that must be added or changed in order to operate in compliance with the standards.</v>
      </c>
      <c r="C260" s="57" t="str">
        <f>VLOOKUP($A260,Questions!$A$3:$X$333,19,0)&amp;""</f>
        <v>PCI DSS</v>
      </c>
      <c r="D260" s="57" t="str">
        <f>VLOOKUP($A260,Questions!$A$3:$X$333,20,0)&amp;""</f>
        <v>Refer to PCI DSS documentation or your institution's treasurer's office.</v>
      </c>
      <c r="E260" s="241" t="s">
        <v>1454</v>
      </c>
    </row>
    <row r="261" spans="1:5" ht="17.399999999999999" x14ac:dyDescent="0.3">
      <c r="A261" s="63" t="str">
        <f>VLOOKUP(LEFT($A262,4),'Auto Responses'!$N$4:$O$38,2,0)&amp;""</f>
        <v xml:space="preserve"> On-Premises Data Solutions</v>
      </c>
      <c r="B261" s="63"/>
      <c r="C261" s="56" t="str">
        <f>Questions!$S$2</f>
        <v>Reason for Question</v>
      </c>
      <c r="D261" s="56" t="str">
        <f>Questions!$T$2</f>
        <v>Follow-Up Inquiries/Responses</v>
      </c>
    </row>
    <row r="262" spans="1:5" ht="65.25" customHeight="1" x14ac:dyDescent="0.3">
      <c r="A262" s="57" t="s">
        <v>664</v>
      </c>
      <c r="B262" s="57" t="str">
        <f>VLOOKUP($A262,Questions!$A$3:$X$333,2,0)&amp;""</f>
        <v>Do you support role-based access control (RBAC) for system administrators?</v>
      </c>
      <c r="C262" s="57" t="str">
        <f>VLOOKUP($A262,Questions!$A$3:$X$333,19,0)&amp;""</f>
        <v>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v>
      </c>
      <c r="D262" s="57" t="str">
        <f>VLOOKUP($A262,Questions!$A$3:$X$333,20,0)&amp;""</f>
        <v>Ask the solution provider to summarize the best practices for securing their system(s) administratively without the use of RBAC. Make sure to understand the administrative requirements/overhead introduced in the solution provider's environment.</v>
      </c>
    </row>
    <row r="263" spans="1:5" ht="78" customHeight="1" x14ac:dyDescent="0.3">
      <c r="A263" s="57" t="s">
        <v>666</v>
      </c>
      <c r="B263" s="57" t="str">
        <f>VLOOKUP($A263,Questions!$A$3:$X$333,2,0)&amp;""</f>
        <v>Can your employees access customer systems remotely?</v>
      </c>
      <c r="C263" s="57" t="str">
        <f>VLOOKUP($A263,Questions!$A$3:$X$333,19,0)&amp;""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63" s="57" t="str">
        <f>VLOOKUP($A263,Questions!$A$3:$X$333,20,0)&amp;""</f>
        <v>Ask the solution provider to summarize the reasoning behind this business process and request additional documentation that outlines the security controls implemented to safeguard institutional data.</v>
      </c>
    </row>
    <row r="264" spans="1:5" ht="60.75" customHeight="1" x14ac:dyDescent="0.3">
      <c r="A264" s="57" t="s">
        <v>670</v>
      </c>
      <c r="B264" s="57" t="str">
        <f>VLOOKUP($A264,Questions!$A$3:$X$333,2,0)&amp;""</f>
        <v>Can you provide overall system and/or application architecture diagrams including a full description of the data communications architecture for all components of the system?</v>
      </c>
      <c r="C264" s="57" t="str">
        <f>VLOOKUP($A264,Questions!$A$3:$X$333,19,0)&amp;""</f>
        <v>Many systems can be used a variety of ways. We want these implementation type diagrams so that we can understand the "real" use of the solution.</v>
      </c>
      <c r="D264" s="57" t="str">
        <f>VLOOKUP($A264,Questions!$A$3:$X$333,20,0)&amp;""</f>
        <v>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v>
      </c>
    </row>
    <row r="265" spans="1:5" ht="78.75" customHeight="1" x14ac:dyDescent="0.3">
      <c r="A265" s="57" t="s">
        <v>674</v>
      </c>
      <c r="B265" s="57" t="str">
        <f>VLOOKUP($A265,Questions!$A$3:$X$333,2,0)&amp;""</f>
        <v>Do you require remote management of the system?</v>
      </c>
      <c r="C265" s="57" t="str">
        <f>VLOOKUP($A265,Questions!$A$3:$X$333,19,0)&amp;""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65" s="57" t="str">
        <f>VLOOKUP($A265,Questions!$A$3:$X$333,20,0)&amp;""</f>
        <v>Ask the solution provider to summarize the reasoning behind this business process and request additional documentation that outlines the security controls implemented to safeguard institutional data.</v>
      </c>
    </row>
    <row r="266" spans="1:5" ht="74.25" customHeight="1" x14ac:dyDescent="0.25">
      <c r="A266" s="57" t="s">
        <v>677</v>
      </c>
      <c r="B266" s="57" t="str">
        <f>VLOOKUP($A266,Questions!$A$3:$X$333,2,0)&amp;""</f>
        <v>If you answered "yes" to OPEM-04, are your remote actions and changes logged or otherwise visible to the campus?</v>
      </c>
      <c r="C266" s="57" t="str">
        <f>VLOOKUP($A266,Questions!$A$3:$X$333,19,0)&amp;""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v>
      </c>
      <c r="D266" s="57" t="str">
        <f>VLOOKUP($A266,Questions!$A$3:$X$333,20,0)&amp;""</f>
        <v>If a weak response is given to this answer, it is appropriate to ask directed answers to get specific information. Ensure that questions are targeted to ensure responses will come from the appropriate party within the solution provider.</v>
      </c>
      <c r="E266" s="241" t="s">
        <v>1454</v>
      </c>
    </row>
    <row r="267" spans="1:5" ht="27.6" x14ac:dyDescent="0.3">
      <c r="A267" s="57" t="s">
        <v>681</v>
      </c>
      <c r="B267" s="57" t="str">
        <f>VLOOKUP($A267,Questions!$A$3:$X$333,2,0)&amp;""</f>
        <v>If you maintain remote access to the system, will you handle data in a FERPA-compliant manner?</v>
      </c>
      <c r="C267" s="57" t="str">
        <f>VLOOKUP($A267,Questions!$A$3:$X$333,19,0)&amp;""</f>
        <v>This is standard documentation, relevant to institution implementations requiring FERPA compliance.</v>
      </c>
      <c r="D267" s="57" t="str">
        <f>VLOOKUP($A267,Questions!$A$3:$X$333,20,0)&amp;""</f>
        <v>Follow-up inquiries for FERPA compliance details will be institution/implementation specific.</v>
      </c>
    </row>
    <row r="268" spans="1:5" ht="60" customHeight="1" x14ac:dyDescent="0.3">
      <c r="A268" s="57" t="s">
        <v>683</v>
      </c>
      <c r="B268" s="57" t="str">
        <f>VLOOKUP($A268,Questions!$A$3:$X$333,2,0)&amp;""</f>
        <v>Do you support campus status monitoring through SNMPv3 or other means?</v>
      </c>
      <c r="C268" s="57" t="str">
        <f>VLOOKUP($A268,Questions!$A$3:$X$333,19,0)&amp;""</f>
        <v>Standard documentation question. With an on-premise device, the possibility to tie-in with existing monitoring/management systems is beneficial. The solution provider's response should be clear and concise.</v>
      </c>
      <c r="D268" s="57" t="str">
        <f>VLOOKUP($A268,Questions!$A$3:$X$333,20,0)&amp;""</f>
        <v>Follow-up inquiries for monitoring via SNMPv3 will be institution/implementation specific.</v>
      </c>
    </row>
    <row r="269" spans="1:5" ht="58.5" customHeight="1" x14ac:dyDescent="0.3">
      <c r="A269" s="57" t="s">
        <v>686</v>
      </c>
      <c r="B269" s="57" t="str">
        <f>VLOOKUP($A269,Questions!$A$3:$X$333,2,0)&amp;""</f>
        <v>Describe or provide a reference to any other safeguards used to monitor for malicious activity.</v>
      </c>
      <c r="C269" s="57" t="str">
        <f>VLOOKUP($A269,Questions!$A$3:$X$333,19,0)&amp;""</f>
        <v>This question is primarily focused on system(s) integrity and confidentiality. The solution provider's response should clearly state the system(s) capabilities to properly monitor for (and alert for) malicious activity.</v>
      </c>
      <c r="D269" s="57" t="str">
        <f>VLOOKUP($A269,Questions!$A$3:$X$333,20,0)&amp;""</f>
        <v>Follow-up inquiries for system monitoring will be institution/implementation specific.</v>
      </c>
    </row>
    <row r="270" spans="1:5" ht="51.75" customHeight="1" x14ac:dyDescent="0.3">
      <c r="A270" s="57" t="s">
        <v>687</v>
      </c>
      <c r="B270" s="57" t="str">
        <f>VLOOKUP($A270,Questions!$A$3:$X$333,2,0)&amp;""</f>
        <v>Describe how long your organization has conducted business in this area.</v>
      </c>
      <c r="C270" s="57" t="str">
        <f>VLOOKUP($A270,Questions!$A$3:$X$333,19,0)&amp;""</f>
        <v>We want to establish longevity of a solution and whether or not a solution provider is new to the higher education space.</v>
      </c>
      <c r="D270" s="57" t="str">
        <f>VLOOKUP($A270,Questions!$A$3:$X$333,20,0)&amp;""</f>
        <v>Normally a solution provider will state their overall longevity but not talk about the software/service/product under evaluation. Follow-ups includes specific questions about the origins of the software/service/product and references will be requested.</v>
      </c>
    </row>
    <row r="271" spans="1:5" ht="63.75" customHeight="1" x14ac:dyDescent="0.25">
      <c r="A271" s="57" t="s">
        <v>692</v>
      </c>
      <c r="B271" s="57" t="str">
        <f>VLOOKUP($A271,Questions!$A$3:$X$333,2,0)&amp;""</f>
        <v>Do you have existing higher education customers?</v>
      </c>
      <c r="C271" s="57" t="str">
        <f>VLOOKUP($A271,Questions!$A$3:$X$333,19,0)&amp;""</f>
        <v>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v>
      </c>
      <c r="D271" s="57" t="str">
        <f>VLOOKUP($A271,Questions!$A$3:$X$333,20,0)&amp;""</f>
        <v>A simple "yes" without any references or supporting information should be questioned. Question the size of institutions that are using the solution and the scope of their implementations.</v>
      </c>
      <c r="E271" s="241" t="s">
        <v>1454</v>
      </c>
    </row>
    <row r="272" spans="1:5" ht="17.399999999999999" x14ac:dyDescent="0.3">
      <c r="A272" s="63" t="str">
        <f>VLOOKUP(LEFT($A273,4),'Auto Responses'!$N$4:$O$38,2,0)&amp;""</f>
        <v xml:space="preserve"> AI Qualifying Questions</v>
      </c>
      <c r="B272" s="63"/>
      <c r="C272" s="56" t="str">
        <f>Questions!$S$2</f>
        <v>Reason for Question</v>
      </c>
      <c r="D272" s="56" t="str">
        <f>Questions!$T$2</f>
        <v>Follow-Up Inquiries/Responses</v>
      </c>
    </row>
    <row r="273" spans="1:5" ht="36" customHeight="1" x14ac:dyDescent="0.3">
      <c r="A273" s="57" t="s">
        <v>782</v>
      </c>
      <c r="B273" s="57" t="str">
        <f>VLOOKUP($A273,Questions!$A$3:$X$333,2,0)&amp;""</f>
        <v>Does your solution leverage machine learning (ML) or do you plan to do so in the next 12 months?</v>
      </c>
      <c r="C273" s="57" t="str">
        <f>VLOOKUP($A273,Questions!$A$3:$X$333,19,0)&amp;""</f>
        <v/>
      </c>
      <c r="D273" s="57" t="str">
        <f>VLOOKUP($A273,Questions!$A$3:$X$333,20,0)&amp;""</f>
        <v/>
      </c>
    </row>
    <row r="274" spans="1:5" ht="38.25" customHeight="1" x14ac:dyDescent="0.3">
      <c r="A274" s="57" t="s">
        <v>783</v>
      </c>
      <c r="B274" s="57" t="str">
        <f>VLOOKUP($A274,Questions!$A$3:$X$333,2,0)&amp;""</f>
        <v>Does your solution leverage a large language model (LLM) or do you plan to do so in the next 12 months?</v>
      </c>
      <c r="C274" s="57" t="str">
        <f>VLOOKUP($A274,Questions!$A$3:$X$333,19,0)&amp;""</f>
        <v/>
      </c>
      <c r="D274" s="57" t="str">
        <f>VLOOKUP($A274,Questions!$A$3:$X$333,20,0)&amp;""</f>
        <v/>
      </c>
    </row>
    <row r="275" spans="1:5" ht="39" customHeight="1" x14ac:dyDescent="0.25">
      <c r="A275" s="63" t="str">
        <f>VLOOKUP(LEFT($A276,4),'Auto Responses'!$N$4:$O$38,2,0)&amp;""</f>
        <v xml:space="preserve"> General AI Questions</v>
      </c>
      <c r="B275" s="63"/>
      <c r="C275" s="56" t="str">
        <f>Questions!$S$2</f>
        <v>Reason for Question</v>
      </c>
      <c r="D275" s="56" t="str">
        <f>Questions!$T$2</f>
        <v>Follow-Up Inquiries/Responses</v>
      </c>
      <c r="E275" s="241" t="s">
        <v>1454</v>
      </c>
    </row>
    <row r="276" spans="1:5" ht="27.6" x14ac:dyDescent="0.3">
      <c r="A276" s="57" t="s">
        <v>784</v>
      </c>
      <c r="B276" s="57" t="str">
        <f>VLOOKUP($A276,Questions!$A$3:$X$333,2,0)&amp;""</f>
        <v>Does your solution have an AI risk model when developing or implementing your solution's AI model?*</v>
      </c>
      <c r="C276" s="57" t="str">
        <f>VLOOKUP($A276,Questions!$A$3:$X$333,19,0)&amp;""</f>
        <v>To ensure the vendor has proactive governance and has a defined, documented risk management strategy that is aligned with responsible AI.</v>
      </c>
      <c r="D276" s="57" t="str">
        <f>VLOOKUP($A276,Questions!$A$3:$X$333,20,0)&amp;""</f>
        <v>Can the AI risk model or framework in use be shared? How often is it reviewed and updated? If an AI framework is not in use, what practices are currently used to address AI risks?</v>
      </c>
    </row>
    <row r="277" spans="1:5" ht="50.25" customHeight="1" x14ac:dyDescent="0.3">
      <c r="A277" s="57" t="s">
        <v>785</v>
      </c>
      <c r="B277" s="57" t="str">
        <f>VLOOKUP($A277,Questions!$A$3:$X$333,2,0)&amp;""</f>
        <v>Can your solution's AI features be disabled by tenant and/or user?*</v>
      </c>
      <c r="C277" s="57" t="str">
        <f>VLOOKUP($A277,Questions!$A$3:$X$333,19,0)&amp;""</f>
        <v>To verify whether customers have control over AI features and can opt out when AI is not desired or creates compliance concerns.</v>
      </c>
      <c r="D277" s="57" t="str">
        <f>VLOOKUP($A277,Questions!$A$3:$X$333,20,0)&amp;""</f>
        <v>How easy is it to disable/enable AI features?</v>
      </c>
    </row>
    <row r="278" spans="1:5" ht="60.75" customHeight="1" x14ac:dyDescent="0.25">
      <c r="A278" s="57" t="s">
        <v>786</v>
      </c>
      <c r="B278" s="57" t="str">
        <f>VLOOKUP($A278,Questions!$A$3:$X$333,2,0)&amp;""</f>
        <v>Have your staff completed responsible AI training?*</v>
      </c>
      <c r="C278" s="57" t="str">
        <f>VLOOKUP($A278,Questions!$A$3:$X$333,19,0)&amp;""</f>
        <v>To confirm that staff are educated on ethical AI principles, data stewardship, bias mitigation, and compliance, ensuring responsible use and support for customers.</v>
      </c>
      <c r="D278" s="57" t="str">
        <f>VLOOKUP($A278,Questions!$A$3:$X$333,20,0)&amp;""</f>
        <v>Clarify the structure and enforcement of training supports transparency and accountability in AI-related operations.</v>
      </c>
      <c r="E278" s="241" t="s">
        <v>1454</v>
      </c>
    </row>
    <row r="279" spans="1:5" ht="27.6" x14ac:dyDescent="0.3">
      <c r="A279" s="57" t="s">
        <v>787</v>
      </c>
      <c r="B279" s="57" t="str">
        <f>VLOOKUP($A279,Questions!$A$3:$X$333,2,0)&amp;""</f>
        <v>Please describe the capabilities of your solution's AI features.</v>
      </c>
      <c r="C279" s="57" t="str">
        <f>VLOOKUP($A279,Questions!$A$3:$X$333,19,0)&amp;""</f>
        <v>To help institutions understand the scope, functionality, and intended use cases of the AI feature(s) and evaluate whether its capabilities align with institutional needs and risk tolerance.</v>
      </c>
      <c r="D279" s="57" t="str">
        <f>VLOOKUP($A279,Questions!$A$3:$X$333,20,0)&amp;""</f>
        <v>Can documentation of supported AI functions, limitations, and safeguards be provided?</v>
      </c>
    </row>
    <row r="280" spans="1:5" ht="39" customHeight="1" x14ac:dyDescent="0.3">
      <c r="A280" s="57" t="s">
        <v>788</v>
      </c>
      <c r="B280" s="57" t="str">
        <f>VLOOKUP($A280,Questions!$A$3:$X$333,2,0)&amp;""</f>
        <v>Does your solution support business rules to protect sensitive data from being ingested by the AI model?</v>
      </c>
      <c r="C280" s="57" t="str">
        <f>VLOOKUP($A280,Questions!$A$3:$X$333,19,0)&amp;""</f>
        <v>To determine the risk of sensitive data exposure from AI feature inputs and outputs.</v>
      </c>
      <c r="D280" s="57" t="str">
        <f>VLOOKUP($A280,Questions!$A$3:$X$333,20,0)&amp;""</f>
        <v>Can you provide examples of data loss prevention (DLP) features? Where are these DLP solutions implemented? Are these DLP features customizable?</v>
      </c>
    </row>
    <row r="281" spans="1:5" ht="38.25" customHeight="1" x14ac:dyDescent="0.25">
      <c r="A281" s="63" t="str">
        <f>VLOOKUP(LEFT($A282,4),'Auto Responses'!$N$4:$O$38,2,0)&amp;""</f>
        <v xml:space="preserve"> AI Policy</v>
      </c>
      <c r="B281" s="63"/>
      <c r="C281" s="56" t="str">
        <f>Questions!$S$2</f>
        <v>Reason for Question</v>
      </c>
      <c r="D281" s="56" t="str">
        <f>Questions!$T$2</f>
        <v>Follow-Up Inquiries/Responses</v>
      </c>
      <c r="E281" s="241" t="s">
        <v>1454</v>
      </c>
    </row>
    <row r="282" spans="1:5" ht="41.4" x14ac:dyDescent="0.3">
      <c r="A282" s="57" t="s">
        <v>789</v>
      </c>
      <c r="B282" s="57" t="str">
        <f>VLOOKUP($A282,Questions!$A$3:$X$333,2,0)&amp;""</f>
        <v>Are your AI developer's policies, processes, procedures, and practices across the organization related to the mapping, measuring, and managing of AI risks conspicuously posted, unambiguous, and implemented effectively?*</v>
      </c>
      <c r="C282" s="57" t="str">
        <f>VLOOKUP($A282,Questions!$A$3:$X$333,19,0)&amp;""</f>
        <v>To ensure that the vendor has established a mature AI governance framework, is prepared to manage the complex and evolving risks of AI, and is not likely to transfer that risk directly to customers.</v>
      </c>
      <c r="D282" s="57" t="str">
        <f>VLOOKUP($A282,Questions!$A$3:$X$333,20,0)&amp;""</f>
        <v>Given that a lack of formal governance can expose our institution to significant legal and reputational risks, how can you assure us that partnering with you will not transfer these liabilities to our organization?</v>
      </c>
    </row>
    <row r="283" spans="1:5" ht="56.25" customHeight="1" x14ac:dyDescent="0.3">
      <c r="A283" s="57" t="s">
        <v>790</v>
      </c>
      <c r="B283" s="57" t="str">
        <f>VLOOKUP($A283,Questions!$A$3:$X$333,2,0)&amp;""</f>
        <v>Have you identified and measured AI risks?*</v>
      </c>
      <c r="C283" s="57" t="str">
        <f>VLOOKUP($A283,Questions!$A$3:$X$333,19,0)&amp;""</f>
        <v>To help an organization verify that the vendor has a mature, proactive risk management framework in place, which is essential to protect the organization from the legal, financial, and reputational liabilities that can arise from a poorly governed AI system.</v>
      </c>
      <c r="D283" s="57" t="str">
        <f>VLOOKUP($A283,Questions!$A$3:$X$333,20,0)&amp;""</f>
        <v>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v>
      </c>
    </row>
    <row r="284" spans="1:5" ht="68.25" customHeight="1" x14ac:dyDescent="0.3">
      <c r="A284" s="57" t="s">
        <v>791</v>
      </c>
      <c r="B284" s="57" t="str">
        <f>VLOOKUP($A284,Questions!$A$3:$X$333,2,0)&amp;""</f>
        <v>In the event of an incident, can your solution's AI features be disabled in a timely manner?*</v>
      </c>
      <c r="C284" s="57" t="str">
        <f>VLOOKUP($A284,Questions!$A$3:$X$333,19,0)&amp;""</f>
        <v>The ability to disable/enable AI features is essential for containing an incident and preventing a security or ethical failure.</v>
      </c>
      <c r="D284" s="57" t="str">
        <f>VLOOKUP($A284,Questions!$A$3:$X$333,20,0)&amp;""</f>
        <v>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v>
      </c>
    </row>
    <row r="285" spans="1:5" ht="50.25" customHeight="1" x14ac:dyDescent="0.3">
      <c r="A285" s="57" t="s">
        <v>792</v>
      </c>
      <c r="B285" s="57" t="str">
        <f>VLOOKUP($A285,Questions!$A$3:$X$333,2,0)&amp;""</f>
        <v>If disabled because of an incident, can your solution's AI features be re-enabled in a timely manner?*</v>
      </c>
      <c r="C285" s="57" t="str">
        <f>VLOOKUP($A285,Questions!$A$3:$X$333,19,0)&amp;""</f>
        <v>This helps an organization create a business continuity plan and incident recovery plan.</v>
      </c>
      <c r="D285" s="57" t="str">
        <f>VLOOKUP($A285,Questions!$A$3:$X$333,20,0)&amp;""</f>
        <v/>
      </c>
    </row>
    <row r="286" spans="1:5" ht="65.25" customHeight="1" x14ac:dyDescent="0.3">
      <c r="A286" s="57" t="s">
        <v>793</v>
      </c>
      <c r="B286" s="57" t="str">
        <f>VLOOKUP($A286,Questions!$A$3:$X$333,2,0)&amp;""</f>
        <v>Do you have documented technical and procedural processes to address potential negative impacts of AI as described by the AI Risk Management Framework (RMF)?</v>
      </c>
      <c r="C286" s="57" t="str">
        <f>VLOOKUP($A286,Questions!$A$3:$X$333,19,0)&amp;""</f>
        <v>This question helps maximize the value of the AI feature(s) while minimizing the negative impacts of AI.</v>
      </c>
      <c r="D286" s="57" t="str">
        <f>VLOOKUP($A286,Questions!$A$3:$X$333,20,0)&amp;""</f>
        <v>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v>
      </c>
    </row>
    <row r="287" spans="1:5" s="57" customFormat="1" ht="18.75" customHeight="1" x14ac:dyDescent="0.3">
      <c r="A287" s="63" t="str">
        <f>VLOOKUP(LEFT($A288,4),'Auto Responses'!$N$4:$O$38,2,0)&amp;""</f>
        <v xml:space="preserve"> AI Data Security</v>
      </c>
      <c r="B287" s="63"/>
      <c r="C287" s="56" t="str">
        <f>Questions!$S$2</f>
        <v>Reason for Question</v>
      </c>
      <c r="D287" s="56" t="str">
        <f>Questions!$T$2</f>
        <v>Follow-Up Inquiries/Responses</v>
      </c>
    </row>
    <row r="288" spans="1:5" s="57" customFormat="1" ht="69" x14ac:dyDescent="0.3">
      <c r="A288" s="57" t="s">
        <v>794</v>
      </c>
      <c r="B288" s="57" t="str">
        <f>VLOOKUP($A288,Questions!$A$3:$X$333,2,0)&amp;""</f>
        <v>If sensitive data is introduced to your solution's AI model, can the data be removed from the AI model by request?*</v>
      </c>
      <c r="C288" s="57" t="str">
        <f>VLOOKUP($A288,Questions!$A$3:$X$333,19,0)&amp;""</f>
        <v>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v>
      </c>
      <c r="D288" s="57" t="str">
        <f>VLOOKUP($A288,Questions!$A$3:$X$333,20,0)&amp;""</f>
        <v>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v>
      </c>
    </row>
    <row r="289" spans="1:5" ht="69" x14ac:dyDescent="0.3">
      <c r="A289" s="57" t="s">
        <v>795</v>
      </c>
      <c r="B289" s="57" t="str">
        <f>VLOOKUP($A289,Questions!$A$3:$X$333,2,0)&amp;""</f>
        <v>Is user input data used to influence your solution's AI model?*</v>
      </c>
      <c r="C289" s="57" t="str">
        <f>VLOOKUP($A289,Questions!$A$3:$X$333,19,0)&amp;""</f>
        <v>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v>
      </c>
      <c r="D289" s="57" t="str">
        <f>VLOOKUP($A289,Questions!$A$3:$X$333,20,0)&amp;""</f>
        <v>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v>
      </c>
    </row>
    <row r="290" spans="1:5" ht="55.2" x14ac:dyDescent="0.25">
      <c r="A290" s="57" t="s">
        <v>796</v>
      </c>
      <c r="B290" s="57" t="str">
        <f>VLOOKUP($A290,Questions!$A$3:$X$333,2,0)&amp;""</f>
        <v>Do you provide logging for your solution's AI feature(s) that includes user, date, and action taken?*</v>
      </c>
      <c r="C290" s="57" t="str">
        <f>VLOOKUP($A290,Questions!$A$3:$X$333,19,0)&amp;""</f>
        <v>This question helps institutions confirm whether AI features can be audited for user activity, data use, and system behavior. Audit logging supports regulatory compliance, incident response, and transparency in environments handling sensitive or regulated data.</v>
      </c>
      <c r="D290" s="57" t="str">
        <f>VLOOKUP($A290,Questions!$A$3:$X$333,20,0)&amp;""</f>
        <v>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v>
      </c>
      <c r="E290" s="241" t="s">
        <v>1454</v>
      </c>
    </row>
    <row r="291" spans="1:5" ht="55.2" x14ac:dyDescent="0.3">
      <c r="A291" s="57" t="s">
        <v>797</v>
      </c>
      <c r="B291" s="57" t="str">
        <f>VLOOKUP($A291,Questions!$A$3:$X$333,2,0)&amp;""</f>
        <v>Please describe how you validate user inputs.</v>
      </c>
      <c r="C291" s="57" t="str">
        <f>VLOOKUP($A291,Questions!$A$3:$X$333,19,0)&amp;""</f>
        <v>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v>
      </c>
      <c r="D291" s="57" t="str">
        <f>VLOOKUP($A291,Questions!$A$3:$X$333,20,0)&amp;""</f>
        <v>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v>
      </c>
    </row>
    <row r="292" spans="1:5" ht="55.2" x14ac:dyDescent="0.3">
      <c r="A292" s="57" t="s">
        <v>798</v>
      </c>
      <c r="B292" s="57" t="str">
        <f>VLOOKUP($A292,Questions!$A$3:$X$333,2,0)&amp;""</f>
        <v>Do you plan for and mitigate supply-chain risk related to your AI features?</v>
      </c>
      <c r="C292" s="57" t="str">
        <f>VLOOKUP($A292,Questions!$A$3:$X$333,19,0)&amp;""</f>
        <v>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v>
      </c>
      <c r="D292" s="57" t="str">
        <f>VLOOKUP($A292,Questions!$A$3:$X$333,20,0)&amp;""</f>
        <v>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v>
      </c>
    </row>
    <row r="293" spans="1:5" ht="36.75" customHeight="1" x14ac:dyDescent="0.3">
      <c r="A293" s="63" t="str">
        <f>VLOOKUP(LEFT($A294,4),'Auto Responses'!$N$4:$O$38,2,0)&amp;""</f>
        <v xml:space="preserve"> AI Machine Learning</v>
      </c>
      <c r="B293" s="63"/>
      <c r="C293" s="56" t="str">
        <f>Questions!$S$2</f>
        <v>Reason for Question</v>
      </c>
      <c r="D293" s="56" t="str">
        <f>Questions!$T$2</f>
        <v>Follow-Up Inquiries/Responses</v>
      </c>
    </row>
    <row r="294" spans="1:5" ht="82.8" x14ac:dyDescent="0.3">
      <c r="A294" s="57" t="s">
        <v>799</v>
      </c>
      <c r="B294" s="57" t="str">
        <f>VLOOKUP($A294,Questions!$A$3:$X$333,2,0)&amp;""</f>
        <v>Do you separate ML training data from your ML solution data?*</v>
      </c>
      <c r="C294" s="57" t="str">
        <f>VLOOKUP($A294,Questions!$A$3:$X$333,19,0)&amp;""</f>
        <v>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v>
      </c>
      <c r="D294" s="57" t="str">
        <f>VLOOKUP($A294,Questions!$A$3:$X$333,20,0)&amp;""</f>
        <v>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v>
      </c>
    </row>
    <row r="295" spans="1:5" ht="27.6" x14ac:dyDescent="0.3">
      <c r="A295" s="57" t="s">
        <v>800</v>
      </c>
      <c r="B295" s="57" t="str">
        <f>VLOOKUP($A295,Questions!$A$3:$X$333,2,0)&amp;""</f>
        <v>Do you authenticate and verify your ML model's feedback?*</v>
      </c>
      <c r="C295" s="57" t="str">
        <f>VLOOKUP($A295,Questions!$A$3:$X$333,19,0)&amp;""</f>
        <v>Verifying ML model feedback helps prevent skewing attacks that could distort predictions or reduce reliability.</v>
      </c>
      <c r="D295" s="57" t="str">
        <f>VLOOKUP($A295,Questions!$A$3:$X$333,20,0)&amp;""</f>
        <v>Understand whether any other controls or processes are in place that would mitigate the risk of the vendor not doing the authentication or verification. How does the vendor perform trigger-sweep evaluations?</v>
      </c>
    </row>
    <row r="296" spans="1:5" ht="27.6" x14ac:dyDescent="0.3">
      <c r="A296" s="57" t="s">
        <v>801</v>
      </c>
      <c r="B296" s="57" t="str">
        <f>VLOOKUP($A296,Questions!$A$3:$X$333,2,0)&amp;""</f>
        <v>Is your ML training data vetted, validated, and verified before training the solution's AI model?</v>
      </c>
      <c r="C296" s="57" t="str">
        <f>VLOOKUP($A296,Questions!$A$3:$X$333,19,0)&amp;""</f>
        <v>This process can reduce the risk of errors or bias, as well as poor data quality undermining the model's accuracy and integrity.</v>
      </c>
      <c r="D296" s="57" t="str">
        <f>VLOOKUP($A296,Questions!$A$3:$X$333,20,0)&amp;""</f>
        <v>What other controls are in place as a substitute to this process? If not all steps are complete, what part of the process is currently being done?</v>
      </c>
    </row>
    <row r="297" spans="1:5" ht="41.4" x14ac:dyDescent="0.3">
      <c r="A297" s="57" t="s">
        <v>803</v>
      </c>
      <c r="B297" s="57" t="str">
        <f>VLOOKUP($A297,Questions!$A$3:$X$333,2,0)&amp;""</f>
        <v>Is your ML training data monitored and audited?</v>
      </c>
      <c r="C297" s="57" t="str">
        <f>VLOOKUP($A297,Questions!$A$3:$X$333,19,0)&amp;""</f>
        <v>Training data can be targeted by attackers to influence the ML model’s behavior in harmful ways.</v>
      </c>
      <c r="D297" s="57" t="str">
        <f>VLOOKUP($A297,Questions!$A$3:$X$333,20,0)&amp;""</f>
        <v>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v>
      </c>
    </row>
    <row r="298" spans="1:5" ht="27.6" x14ac:dyDescent="0.3">
      <c r="A298" s="57" t="s">
        <v>805</v>
      </c>
      <c r="B298" s="57" t="str">
        <f>VLOOKUP($A298,Questions!$A$3:$X$333,2,0)&amp;""</f>
        <v>Have you limited access to your ML training data to only staff with an explicit business need?</v>
      </c>
      <c r="C298" s="57" t="str">
        <f>VLOOKUP($A298,Questions!$A$3:$X$333,19,0)&amp;""</f>
        <v>Training data can be targeted by attackers to influence the ML model’s behavior in harmful ways.</v>
      </c>
      <c r="D298" s="57" t="str">
        <f>VLOOKUP($A298,Questions!$A$3:$X$333,20,0)&amp;""</f>
        <v/>
      </c>
    </row>
    <row r="299" spans="1:5" ht="36" customHeight="1" x14ac:dyDescent="0.3">
      <c r="A299" s="57" t="s">
        <v>806</v>
      </c>
      <c r="B299" s="57" t="str">
        <f>VLOOKUP($A299,Questions!$A$3:$X$333,2,0)&amp;""</f>
        <v>Have you implemented adversarial training or other model defense mechanisms to protect your ML-related features?</v>
      </c>
      <c r="C299" s="57" t="str">
        <f>VLOOKUP($A299,Questions!$A$3:$X$333,19,0)&amp;""</f>
        <v>Adversarial training and defenses help keep models resilient against manipulation and evasion attacks.</v>
      </c>
      <c r="D299" s="57" t="str">
        <f>VLOOKUP($A299,Questions!$A$3:$X$333,20,0)&amp;""</f>
        <v>What adversarial training is performed on the ML? What defense mechanisms are incorporated into the ML? How is the input validated for the ML?</v>
      </c>
    </row>
    <row r="300" spans="1:5" ht="58.5" customHeight="1" x14ac:dyDescent="0.3">
      <c r="A300" s="57" t="s">
        <v>807</v>
      </c>
      <c r="B300" s="57" t="str">
        <f>VLOOKUP($A300,Questions!$A$3:$X$333,2,0)&amp;""</f>
        <v>Do you make your ML model transparent through documentation and log inputs and outputs?</v>
      </c>
      <c r="C300" s="57" t="str">
        <f>VLOOKUP($A300,Questions!$A$3:$X$333,19,0)&amp;""</f>
        <v>This process helps ensure accountability and detect misuse or anomalies.</v>
      </c>
      <c r="D300" s="57" t="str">
        <f>VLOOKUP($A300,Questions!$A$3:$X$333,20,0)&amp;""</f>
        <v>How long are input/output logs retained, and how is log data protected? How often are transparency and logging processes reviewed or updated? Do logs enable post-hoc trigger correlation?</v>
      </c>
    </row>
    <row r="301" spans="1:5" ht="48" customHeight="1" x14ac:dyDescent="0.3">
      <c r="A301" s="57" t="s">
        <v>809</v>
      </c>
      <c r="B301" s="57" t="str">
        <f>VLOOKUP($A301,Questions!$A$3:$X$333,2,0)&amp;""</f>
        <v>Do you watermark your ML training data?</v>
      </c>
      <c r="C301" s="57" t="str">
        <f>VLOOKUP($A301,Questions!$A$3:$X$333,19,0)&amp;""</f>
        <v>Watermarking training data supports traceability, making it easier to detect misuse and respond to incidents.</v>
      </c>
      <c r="D301" s="57" t="str">
        <f>VLOOKUP($A301,Questions!$A$3:$X$333,20,0)&amp;""</f>
        <v>Are all training datasets watermarked, or only specific subsets? Are there any policies, procedures, or controls in place that would serve as substitutes or compensating measures for this practice?</v>
      </c>
    </row>
    <row r="302" spans="1:5" ht="39" customHeight="1" x14ac:dyDescent="0.3">
      <c r="A302" s="63" t="str">
        <f>VLOOKUP(LEFT($A303,4),'Auto Responses'!$N$4:$O$38,2,0)&amp;""</f>
        <v xml:space="preserve"> AI Large Language Model (LLM)</v>
      </c>
      <c r="B302" s="63"/>
      <c r="C302" s="56" t="str">
        <f>Questions!$S$2</f>
        <v>Reason for Question</v>
      </c>
      <c r="D302" s="56" t="str">
        <f>Questions!$T$2</f>
        <v>Follow-Up Inquiries/Responses</v>
      </c>
    </row>
    <row r="303" spans="1:5" ht="40.5" customHeight="1" x14ac:dyDescent="0.3">
      <c r="A303" s="57" t="s">
        <v>810</v>
      </c>
      <c r="B303" s="57" t="str">
        <f>VLOOKUP($A303,Questions!$A$3:$X$333,2,0)&amp;""</f>
        <v>Do you limit your solution's LLM privileges by default?*</v>
      </c>
      <c r="C303" s="57" t="str">
        <f>VLOOKUP($A303,Questions!$A$3:$X$333,19,0)&amp;""</f>
        <v>This question addresses misuse, exfiltration/change risk, and over-privileged behavior. It supports accountable operations and auditability.</v>
      </c>
      <c r="D303" s="57" t="str">
        <f>VLOOKUP($A303,Questions!$A$3:$X$333,20,0)&amp;""</f>
        <v>Is the LLM's API token unique? How do you segregate external content from user prompts? Do you manually monitor LLM input and output periodically?</v>
      </c>
    </row>
    <row r="304" spans="1:5" ht="54" customHeight="1" x14ac:dyDescent="0.25">
      <c r="A304" s="57" t="s">
        <v>811</v>
      </c>
      <c r="B304" s="57" t="str">
        <f>VLOOKUP($A304,Questions!$A$3:$X$333,2,0)&amp;""</f>
        <v>Is your LLM training data vetted, validated, and verified before training the solution's AI model?*</v>
      </c>
      <c r="C304" s="57" t="str">
        <f>VLOOKUP($A304,Questions!$A$3:$X$333,19,0)&amp;""</f>
        <v>Assures lawful, ethical, and auditable data use while reducing IP and privacy risk. This is key to trustworthy AI and effective audits.</v>
      </c>
      <c r="D304" s="57" t="str">
        <f>VLOOKUP($A304,Questions!$A$3:$X$333,20,0)&amp;""</f>
        <v>Request a dataset register with provenance records, license documentation, and change-control history. Request sample outputs of PII scrubbing/anonymization processes, results of bias/safety evaluations, and records of dataset refresh or retirement events.</v>
      </c>
      <c r="E304" s="241" t="s">
        <v>1454</v>
      </c>
    </row>
    <row r="305" spans="1:5" ht="63.75" customHeight="1" x14ac:dyDescent="0.3">
      <c r="A305" s="57" t="s">
        <v>812</v>
      </c>
      <c r="B305" s="57" t="str">
        <f>VLOOKUP($A305,Questions!$A$3:$X$333,2,0)&amp;""</f>
        <v>Do any actions taken by your solution's LLM features or plugins require human intervention?*</v>
      </c>
      <c r="C305" s="57" t="str">
        <f>VLOOKUP($A305,Questions!$A$3:$X$333,19,0)&amp;""</f>
        <v>Prevents autonomous risky actions or misconfigurations and enforces accountability. This limits excessive agency.</v>
      </c>
      <c r="D305" s="57" t="str">
        <f>VLOOKUP($A305,Questions!$A$3:$X$333,20,0)&amp;""</f>
        <v>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v>
      </c>
    </row>
    <row r="306" spans="1:5" ht="52.5" customHeight="1" x14ac:dyDescent="0.3">
      <c r="A306" s="57" t="s">
        <v>813</v>
      </c>
      <c r="B306" s="57" t="str">
        <f>VLOOKUP($A306,Questions!$A$3:$X$333,2,0)&amp;""</f>
        <v>Do you limit multiple LLM model plugins being called as part of a single input?*</v>
      </c>
      <c r="C306" s="57" t="str">
        <f>VLOOKUP($A306,Questions!$A$3:$X$333,19,0)&amp;""</f>
        <v>Reduces supply-chain and prompt-injection risk, controls attack surface, and clarifies accountability. Aligns with governance expectations.</v>
      </c>
      <c r="D306" s="57" t="str">
        <f>VLOOKUP($A306,Questions!$A$3:$X$333,20,0)&amp;""</f>
        <v>Request a list of all plugins/tools callable by the LLM and the allow-listing criteria/review cadence. Ask for the validation approach, sandbox/egress rules, and test evidence.</v>
      </c>
    </row>
    <row r="307" spans="1:5" ht="78" customHeight="1" x14ac:dyDescent="0.3">
      <c r="A307" s="57" t="s">
        <v>814</v>
      </c>
      <c r="B307" s="57" t="str">
        <f>VLOOKUP($A307,Questions!$A$3:$X$333,2,0)&amp;""</f>
        <v>Do you limit your solution's LLM resource use per request, per step, and per action?</v>
      </c>
      <c r="C307" s="57" t="str">
        <f>VLOOKUP($A307,Questions!$A$3:$X$333,19,0)&amp;""</f>
        <v>Prevents denial-of-service and cost overruns from excessive or malicious consumption. Demonstrates managed, measurable operations.</v>
      </c>
      <c r="D307" s="57" t="str">
        <f>VLOOKUP($A307,Questions!$A$3:$X$333,20,0)&amp;""</f>
        <v>Request current default versus maximum token/CPU/memory quotas per tenant, monitoring dashboards of usage, and alerts or incidents where throttling was triggered. Ask about runbooks for resource spikes, evidence of recent resource reviews, and escalation paths.</v>
      </c>
    </row>
    <row r="308" spans="1:5" ht="62.25" customHeight="1" x14ac:dyDescent="0.3">
      <c r="A308" s="57" t="s">
        <v>815</v>
      </c>
      <c r="B308" s="57" t="str">
        <f>VLOOKUP($A308,Questions!$A$3:$X$333,2,0)&amp;""</f>
        <v>Do you leverage LLM model tuning or other model validation mechanisms?</v>
      </c>
      <c r="C308" s="57" t="str">
        <f>VLOOKUP($A308,Questions!$A$3:$X$333,19,0)&amp;""</f>
        <v>Mitigates hallucinations and ensures decisions rely on verifiable information. Supports trustworthy outcomes and reduces downstream misuse.</v>
      </c>
      <c r="D308" s="57" t="str">
        <f>VLOOKUP($A308,Questions!$A$3:$X$333,20,0)&amp;""</f>
        <v>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v>
      </c>
    </row>
    <row r="309" spans="1:5" ht="41.25" customHeight="1" x14ac:dyDescent="0.3">
      <c r="A309" s="57" t="s">
        <v>759</v>
      </c>
      <c r="B309" s="57" t="str">
        <f>VLOOKUP($A309,Questions!$A$3:$X$333,2,0)&amp;""</f>
        <v>Will data be collected from or processed in or stored in China?</v>
      </c>
      <c r="C309" s="57" t="str">
        <f>VLOOKUP($A309,Questions!$A$3:$X$333,19,0)&amp;""</f>
        <v>Understanding whether the vendor processes data in China may help with institutional PIPL compliance.</v>
      </c>
      <c r="D309" s="57" t="str">
        <f>VLOOKUP($A309,Questions!$A$3:$X$333,20,0)&amp;""</f>
        <v>If institution's intended use includes targeting of data subjects in China and if vendor marks "no," institution might want to follow up to clarify data collected.</v>
      </c>
    </row>
    <row r="310" spans="1:5" ht="34.5" customHeight="1" x14ac:dyDescent="0.25">
      <c r="A310" s="57" t="s">
        <v>762</v>
      </c>
      <c r="B310" s="57" t="str">
        <f>VLOOKUP($A310,Questions!$A$3:$X$333,2,0)&amp;""</f>
        <v>Do you comply with PIPL security, privacy, and data localization requirements?</v>
      </c>
      <c r="C310" s="57" t="str">
        <f>VLOOKUP($A310,Questions!$A$3:$X$333,19,0)&amp;""</f>
        <v>Vendors targeting services in China should have the ability to comply with PIPL requirements.</v>
      </c>
      <c r="D310" s="57" t="str">
        <f>VLOOKUP($A310,Questions!$A$3:$X$333,20,0)&amp;""</f>
        <v/>
      </c>
      <c r="E310" s="241" t="s">
        <v>1454</v>
      </c>
    </row>
    <row r="311" spans="1:5" ht="17.399999999999999" x14ac:dyDescent="0.3">
      <c r="A311" s="63" t="str">
        <f>VLOOKUP(LEFT($A312,4),'Auto Responses'!$N$4:$O$38,2,0)&amp;""</f>
        <v xml:space="preserve"> General Privacy</v>
      </c>
      <c r="B311" s="63"/>
      <c r="C311" s="56" t="str">
        <f>Questions!$S$2</f>
        <v>Reason for Question</v>
      </c>
      <c r="D311" s="56" t="str">
        <f>Questions!$T$2</f>
        <v>Follow-Up Inquiries/Responses</v>
      </c>
    </row>
    <row r="312" spans="1:5" ht="27.6" x14ac:dyDescent="0.3">
      <c r="A312" s="57" t="s">
        <v>857</v>
      </c>
      <c r="B312" s="57" t="str">
        <f>VLOOKUP($A312,Questions!$A$3:$X$333,2,0)&amp;""</f>
        <v>Does your solution process FERPA-related data?</v>
      </c>
      <c r="C312" s="57" t="str">
        <f>VLOOKUP($A312,Questions!$A$3:$X$333,19,0)&amp;""</f>
        <v>This question will help the institution gain an understanding of the types of data processed by this product or service.</v>
      </c>
      <c r="D312" s="57" t="str">
        <f>VLOOKUP($A312,Questions!$A$3:$X$333,20,0)&amp;""</f>
        <v>Will data be re-disclosed and/or used for any purpose other than directly providing the service, including quality assurance or marketing?</v>
      </c>
    </row>
    <row r="313" spans="1:5" ht="27.6" x14ac:dyDescent="0.3">
      <c r="A313" s="57" t="s">
        <v>858</v>
      </c>
      <c r="B313" s="57" t="str">
        <f>VLOOKUP($A313,Questions!$A$3:$X$333,2,0)&amp;""</f>
        <v>Does your solution process GDPR-related or PIPL-related data?</v>
      </c>
      <c r="C313" s="57" t="str">
        <f>VLOOKUP($A313,Questions!$A$3:$X$333,19,0)&amp;""</f>
        <v>This question will help the institution gain an understanding of the types of data processed by this product or service.</v>
      </c>
      <c r="D313" s="57" t="str">
        <f>VLOOKUP($A313,Questions!$A$3:$X$333,20,0)&amp;""</f>
        <v/>
      </c>
    </row>
    <row r="314" spans="1:5" ht="27.6" x14ac:dyDescent="0.3">
      <c r="A314" s="57" t="s">
        <v>859</v>
      </c>
      <c r="B314" s="57" t="str">
        <f>VLOOKUP($A314,Questions!$A$3:$X$333,2,0)&amp;""</f>
        <v>Does your solution process personal data regulated by state law(s) (e.g., CCPA)?</v>
      </c>
      <c r="C314" s="57" t="str">
        <f>VLOOKUP($A314,Questions!$A$3:$X$333,19,0)&amp;""</f>
        <v>This question will help the institution gain an understanding of the types of data processed by this product or service.</v>
      </c>
      <c r="D314" s="57" t="str">
        <f>VLOOKUP($A314,Questions!$A$3:$X$333,20,0)&amp;""</f>
        <v/>
      </c>
    </row>
    <row r="315" spans="1:5" ht="27.6" x14ac:dyDescent="0.3">
      <c r="A315" s="57" t="s">
        <v>860</v>
      </c>
      <c r="B315" s="57" t="str">
        <f>VLOOKUP($A315,Questions!$A$3:$X$333,2,0)&amp;""</f>
        <v>Does your solution process user-provided data that may contain regulated information?</v>
      </c>
      <c r="C315" s="57" t="str">
        <f>VLOOKUP($A315,Questions!$A$3:$X$333,19,0)&amp;""</f>
        <v>This question will help the institution gain an understanding of the types of data processed by this product or service.</v>
      </c>
      <c r="D315" s="57" t="str">
        <f>VLOOKUP($A315,Questions!$A$3:$X$333,20,0)&amp;""</f>
        <v/>
      </c>
    </row>
    <row r="316" spans="1:5" ht="43.5" customHeight="1" x14ac:dyDescent="0.3">
      <c r="A316" s="57" t="s">
        <v>861</v>
      </c>
      <c r="B316" s="57" t="str">
        <f>VLOOKUP($A316,Questions!$A$3:$X$333,2,0)&amp;""</f>
        <v>Web Link to Product/Service Privacy Notice</v>
      </c>
      <c r="C316" s="57" t="str">
        <f>VLOOKUP($A316,Questions!$A$3:$X$333,19,0)&amp;""</f>
        <v>To ensure transparency and verify the vendor provides accessible privacy documentation that institutions can review and share with stakeholders.</v>
      </c>
      <c r="D316" s="57" t="str">
        <f>VLOOKUP($A316,Questions!$A$3:$X$333,20,0)&amp;""</f>
        <v>Please provide the direct URL to your privacy policy and confirm how frequently it is reviewed and updated.</v>
      </c>
    </row>
    <row r="317" spans="1:5" ht="17.399999999999999" x14ac:dyDescent="0.3">
      <c r="A317" s="63" t="str">
        <f>VLOOKUP(LEFT($A318,4),'Auto Responses'!$N$4:$O$38,2,0)&amp;""</f>
        <v xml:space="preserve"> Privacy-Specific Company Details</v>
      </c>
      <c r="B317" s="63"/>
      <c r="C317" s="56" t="str">
        <f>Questions!$S$2</f>
        <v>Reason for Question</v>
      </c>
      <c r="D317" s="56" t="str">
        <f>Questions!$T$2</f>
        <v>Follow-Up Inquiries/Responses</v>
      </c>
    </row>
    <row r="318" spans="1:5" ht="58.5" customHeight="1" x14ac:dyDescent="0.3">
      <c r="A318" s="57" t="s">
        <v>697</v>
      </c>
      <c r="B318" s="57" t="str">
        <f>VLOOKUP($A318,Questions!$A$3:$X$333,2,0)&amp;""</f>
        <v>Have you had a personal data breach in the past three years that involved reporting to a governmental agency, notice to individuals (including voluntary notice), or notice to another organization or institution?*</v>
      </c>
      <c r="C318" s="57" t="str">
        <f>VLOOKUP($A318,Questions!$A$3:$X$333,19,0)&amp;""</f>
        <v>Having a previous data breach can indicate a level of risk that will indicate that the institution should further investigate changes made after the breach.</v>
      </c>
      <c r="D318" s="57" t="str">
        <f>VLOOKUP($A318,Questions!$A$3:$X$333,20,0)&amp;""</f>
        <v/>
      </c>
    </row>
    <row r="319" spans="1:5" ht="39.75" customHeight="1" x14ac:dyDescent="0.3">
      <c r="A319" s="57" t="s">
        <v>699</v>
      </c>
      <c r="B319" s="57" t="str">
        <f>VLOOKUP($A319,Questions!$A$3:$X$333,2,0)&amp;""</f>
        <v>Use this area to share information about your privacy practices that will assist those who are assessing your company data privacy program.*</v>
      </c>
      <c r="C319" s="57" t="str">
        <f>VLOOKUP($A319,Questions!$A$3:$X$333,19,0)&amp;""</f>
        <v>To gather voluntary disclosures that provide additional context beyond required responses, helping assessors understand the vendor's privacy culture and proactive commitment to data protection.</v>
      </c>
      <c r="D319" s="57" t="str">
        <f>VLOOKUP($A319,Questions!$A$3:$X$333,20,0)&amp;""</f>
        <v/>
      </c>
    </row>
    <row r="320" spans="1:5" ht="36.75" customHeight="1" x14ac:dyDescent="0.3">
      <c r="A320" s="57" t="s">
        <v>700</v>
      </c>
      <c r="B320" s="57" t="str">
        <f>VLOOKUP($A320,Questions!$A$3:$X$333,2,0)&amp;""</f>
        <v>Have you had any violations of your internal privacy policies or violations of applicable privacy law in the past 36 months?</v>
      </c>
      <c r="C320" s="57" t="str">
        <f>VLOOKUP($A320,Questions!$A$3:$X$333,19,0)&amp;""</f>
        <v>This question solicits information about internal privacy policy violations and/or violations of applicable privacy law in the past three years.</v>
      </c>
      <c r="D320" s="57" t="str">
        <f>VLOOKUP($A320,Questions!$A$3:$X$333,20,0)&amp;""</f>
        <v/>
      </c>
    </row>
    <row r="321" spans="1:5" ht="40.5" customHeight="1" x14ac:dyDescent="0.3">
      <c r="A321" s="57" t="s">
        <v>701</v>
      </c>
      <c r="B321" s="57" t="str">
        <f>VLOOKUP($A321,Questions!$A$3:$X$333,2,0)&amp;""</f>
        <v>Do you have a dedicated data privacy staff or office?</v>
      </c>
      <c r="C321" s="57" t="str">
        <f>VLOOKUP($A321,Questions!$A$3:$X$333,19,0)&amp;""</f>
        <v>Any solution provider processing protected student data should have resources/staff dedicated to the protection of the data.</v>
      </c>
      <c r="D321" s="57" t="str">
        <f>VLOOKUP($A321,Questions!$A$3:$X$333,20,0)&amp;""</f>
        <v/>
      </c>
    </row>
    <row r="322" spans="1:5" ht="35.25" customHeight="1" x14ac:dyDescent="0.3">
      <c r="A322" s="63" t="str">
        <f>VLOOKUP(LEFT($A323,4),'Auto Responses'!$N$4:$O$38,2,0)&amp;""</f>
        <v xml:space="preserve"> Privacy-Specific Documentation</v>
      </c>
      <c r="B322" s="63"/>
      <c r="C322" s="56" t="str">
        <f>Questions!$S$2</f>
        <v>Reason for Question</v>
      </c>
      <c r="D322" s="56" t="str">
        <f>Questions!$T$2</f>
        <v>Follow-Up Inquiries/Responses</v>
      </c>
    </row>
    <row r="323" spans="1:5" ht="33.75" customHeight="1" x14ac:dyDescent="0.3">
      <c r="A323" s="57" t="s">
        <v>702</v>
      </c>
      <c r="B323" s="57" t="str">
        <f>VLOOKUP($A323,Questions!$A$3:$X$333,2,0)&amp;""</f>
        <v>If you have completed a SOC 2 audit, does it include the Privacy Trust Service Principle?</v>
      </c>
      <c r="C323" s="57" t="str">
        <f>VLOOKUP($A323,Questions!$A$3:$X$333,19,0)&amp;""</f>
        <v>This is specifically asking for the Privacy Trust Service Principle, which is not always included in a SOC 2 audit.</v>
      </c>
      <c r="D323" s="57" t="str">
        <f>VLOOKUP($A323,Questions!$A$3:$X$333,20,0)&amp;""</f>
        <v/>
      </c>
    </row>
    <row r="324" spans="1:5" ht="78" customHeight="1" x14ac:dyDescent="0.3">
      <c r="A324" s="57" t="s">
        <v>703</v>
      </c>
      <c r="B324" s="57" t="str">
        <f>VLOOKUP($A324,Questions!$A$3:$X$333,2,0)&amp;""</f>
        <v>Do you conform with a specific industry-standard privacy framework (e.g., NIST Privacy Framework, GDPR, ISO 27701)?</v>
      </c>
      <c r="C324" s="57" t="str">
        <f>VLOOKUP($A324,Questions!$A$3:$X$333,19,0)&amp;""</f>
        <v>Conformance with industry privacy frameworks can demonstrate an organization's privacy posture and can provide clients a sense of comfort as to the organization's commitment to protection of personal data.</v>
      </c>
      <c r="D324" s="57" t="str">
        <f>VLOOKUP($A324,Questions!$A$3:$X$333,20,0)&amp;""</f>
        <v>If the organization relies on more than one framework or only on portions of a framework, has this been mapped to the Security Controls Framework? If so, please provide a copy of the mapping used.</v>
      </c>
    </row>
    <row r="325" spans="1:5" ht="98.25" customHeight="1" x14ac:dyDescent="0.3">
      <c r="A325" s="57" t="s">
        <v>704</v>
      </c>
      <c r="B325" s="57" t="str">
        <f>VLOOKUP($A325,Questions!$A$3:$X$333,2,0)&amp;""</f>
        <v>Does your employee onboarding and offboarding policy include training of employees on information security and data privacy?</v>
      </c>
      <c r="C325" s="57" t="str">
        <f>VLOOKUP($A325,Questions!$A$3:$X$333,19,0)&amp;""</f>
        <v>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v>
      </c>
      <c r="D325" s="57" t="str">
        <f>VLOOKUP($A325,Questions!$A$3:$X$333,20,0)&amp;""</f>
        <v>If training is provided to specific employee groups only, please provide information as to which groups and an overview of the training for each group.</v>
      </c>
    </row>
    <row r="326" spans="1:5" ht="21" customHeight="1" x14ac:dyDescent="0.25">
      <c r="A326" s="63" t="str">
        <f>VLOOKUP(LEFT($A327,4),'Auto Responses'!$N$4:$O$38,2,0)&amp;""</f>
        <v xml:space="preserve"> Privacy of Third Parties</v>
      </c>
      <c r="B326" s="63"/>
      <c r="C326" s="56" t="str">
        <f>Questions!$S$2</f>
        <v>Reason for Question</v>
      </c>
      <c r="D326" s="56" t="str">
        <f>Questions!$T$2</f>
        <v>Follow-Up Inquiries/Responses</v>
      </c>
      <c r="E326" s="241" t="s">
        <v>1454</v>
      </c>
    </row>
    <row r="327" spans="1:5" ht="41.4" x14ac:dyDescent="0.3">
      <c r="A327" s="57" t="s">
        <v>706</v>
      </c>
      <c r="B327" s="57" t="str">
        <f>VLOOKUP($A327,Questions!$A$3:$X$333,2,0)&amp;""</f>
        <v>Do you have contractual agreements with third parties that require them to maintain standards and to comply with all regulatory requirements?*</v>
      </c>
      <c r="C327" s="57" t="str">
        <f>VLOOKUP($A327,Questions!$A$3:$X$333,19,0)&amp;""</f>
        <v>Inclusion of language in contractual agreements ensures third parties are aware of and have agreed to their obligations to maintain standards and comply with all regulatory requirements in regards to protection of personal data they handle on behalf of the organization.</v>
      </c>
      <c r="D327" s="57" t="str">
        <f>VLOOKUP($A327,Questions!$A$3:$X$333,20,0)&amp;""</f>
        <v/>
      </c>
    </row>
    <row r="328" spans="1:5" ht="129.75" customHeight="1" x14ac:dyDescent="0.3">
      <c r="A328" s="57" t="s">
        <v>708</v>
      </c>
      <c r="B328" s="57" t="str">
        <f>VLOOKUP($A328,Questions!$A$3:$X$333,2,0)&amp;""</f>
        <v>Do you perform privacy impact assessments of third parties that collect, process, or have access to personal data to ensure they meet industry and regulatory standards and to mitigate harmful, unethical, or discriminatory impacts on data subjects?</v>
      </c>
      <c r="C328" s="57" t="str">
        <f>VLOOKUP($A328,Questions!$A$3:$X$333,19,0)&amp;""</f>
        <v>The organization providing a product or service cannot reasonably claim it appropriately protects privacy of information entrusted to it if it relies on third parties or subprocessors that do not likewise meet or exceed the claimed levels of protection.</v>
      </c>
      <c r="D328" s="57" t="str">
        <f>VLOOKUP($A328,Questions!$A$3:$X$333,20,0)&amp;""</f>
        <v>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v>
      </c>
    </row>
    <row r="329" spans="1:5" ht="17.399999999999999" x14ac:dyDescent="0.3">
      <c r="A329" s="63" t="str">
        <f>VLOOKUP(LEFT($A330,4),'Auto Responses'!$N$4:$O$38,2,0)&amp;""</f>
        <v xml:space="preserve"> Privacy Change Management</v>
      </c>
      <c r="B329" s="63"/>
      <c r="C329" s="56" t="str">
        <f>Questions!$S$2</f>
        <v>Reason for Question</v>
      </c>
      <c r="D329" s="56" t="str">
        <f>Questions!$T$2</f>
        <v>Follow-Up Inquiries/Responses</v>
      </c>
    </row>
    <row r="330" spans="1:5" ht="42.9" customHeight="1" x14ac:dyDescent="0.3">
      <c r="A330" s="57" t="s">
        <v>709</v>
      </c>
      <c r="B330" s="57" t="str">
        <f>VLOOKUP($A330,Questions!$A$3:$X$333,2,0)&amp;""</f>
        <v>Does your change management process include privacy review and approval?</v>
      </c>
      <c r="C330" s="57" t="str">
        <f>VLOOKUP($A330,Questions!$A$3:$X$333,19,0)&amp;""</f>
        <v>It is important that change management not overlook any privacy considerations.</v>
      </c>
      <c r="D330" s="57" t="str">
        <f>VLOOKUP($A330,Questions!$A$3:$X$333,20,0)&amp;""</f>
        <v>If the answer is yes, describe the process; if the answer is no, describe plans to implement.</v>
      </c>
    </row>
    <row r="331" spans="1:5" ht="42.9" customHeight="1" x14ac:dyDescent="0.3">
      <c r="A331" s="57" t="s">
        <v>711</v>
      </c>
      <c r="B331" s="57" t="str">
        <f>VLOOKUP($A331,Questions!$A$3:$X$333,2,0)&amp;""</f>
        <v>Do you have policy and procedure, currently implemented, guiding how privacy risks are mitigated until they can be resolved?</v>
      </c>
      <c r="C331" s="57" t="str">
        <f>VLOOKUP($A331,Questions!$A$3:$X$333,19,0)&amp;""</f>
        <v>It is important to have a procedure in place to mitigate privacy risks as they come up.</v>
      </c>
      <c r="D331" s="57" t="str">
        <f>VLOOKUP($A331,Questions!$A$3:$X$333,20,0)&amp;""</f>
        <v>If the answer is yes, describe the process; if the answer is no, describe plans to implement.</v>
      </c>
    </row>
    <row r="332" spans="1:5" ht="17.399999999999999" x14ac:dyDescent="0.3">
      <c r="A332" s="63" t="str">
        <f>VLOOKUP(LEFT($A333,4),'Auto Responses'!$N$4:$O$38,2,0)&amp;""</f>
        <v xml:space="preserve"> Privacy of Sensitive Data</v>
      </c>
      <c r="B332" s="63"/>
      <c r="C332" s="56" t="str">
        <f>Questions!$S$2</f>
        <v>Reason for Question</v>
      </c>
      <c r="D332" s="56" t="str">
        <f>Questions!$T$2</f>
        <v>Follow-Up Inquiries/Responses</v>
      </c>
    </row>
    <row r="333" spans="1:5" ht="42.9" customHeight="1" x14ac:dyDescent="0.3">
      <c r="A333" s="57" t="s">
        <v>713</v>
      </c>
      <c r="B333" s="57" t="str">
        <f>VLOOKUP($A333,Questions!$A$3:$X$333,2,0)&amp;""</f>
        <v>Do you collect, process, or store demographic information?*</v>
      </c>
      <c r="C333" s="57" t="str">
        <f>VLOOKUP($A333,Questions!$A$3:$X$333,19,0)&amp;""</f>
        <v>This data can be included in data sets that are deidentified but is sensitive data that could be reidentified if paired with other data points.</v>
      </c>
      <c r="D333" s="57" t="str">
        <f>VLOOKUP($A333,Questions!$A$3:$X$333,20,0)&amp;""</f>
        <v>Because of the nature of such data, it is important to have a full understanding of how the data is used and protected.</v>
      </c>
    </row>
    <row r="334" spans="1:5" ht="42.9" customHeight="1" x14ac:dyDescent="0.3">
      <c r="A334" s="57" t="s">
        <v>715</v>
      </c>
      <c r="B334" s="57" t="str">
        <f>VLOOKUP($A334,Questions!$A$3:$X$333,2,0)&amp;""</f>
        <v>Do you capture or create genetic, biometric, or behaviometric information (e.g., facial recognition or fingerprints)?*</v>
      </c>
      <c r="C334" s="57" t="str">
        <f>VLOOKUP($A334,Questions!$A$3:$X$333,19,0)&amp;""</f>
        <v>This data can be included in data sets that are deidentified but is sensitive data that could be reidentified if paired with other data points.</v>
      </c>
      <c r="D334" s="57" t="str">
        <f>VLOOKUP($A334,Questions!$A$3:$X$333,20,0)&amp;""</f>
        <v>Because of the nature of such data, it is important to have a full understanding of how the data is used and protected.</v>
      </c>
    </row>
    <row r="335" spans="1:5" ht="42.9" customHeight="1" x14ac:dyDescent="0.3">
      <c r="A335" s="57" t="s">
        <v>717</v>
      </c>
      <c r="B335" s="57" t="str">
        <f>VLOOKUP($A335,Questions!$A$3:$X$333,2,0)&amp;""</f>
        <v>Do you combine institutional data (including "de-identified," "anonymized," or otherwise masked data) with personal data from any other sources?*</v>
      </c>
      <c r="C335" s="57" t="str">
        <f>VLOOKUP($A335,Questions!$A$3:$X$333,19,0)&amp;""</f>
        <v>To identify potential re-identification risks and ensure the vendor doesn't merge institutional data with external datasets in ways that could compromise privacy protections or violate data use restrictions.</v>
      </c>
      <c r="D335" s="57" t="str">
        <f>VLOOKUP($A335,Questions!$A$3:$X$333,20,0)&amp;""</f>
        <v>If yes, describe what types of external data sources are combined with institutional data and for what purposes.</v>
      </c>
    </row>
    <row r="336" spans="1:5" ht="42.9" customHeight="1" x14ac:dyDescent="0.3">
      <c r="A336" s="57" t="s">
        <v>718</v>
      </c>
      <c r="B336" s="57" t="str">
        <f>VLOOKUP($A336,Questions!$A$3:$X$333,2,0)&amp;""</f>
        <v>Is institutional data coming into or going out of the United States at any point during collection, processing, storage, or archiving?</v>
      </c>
      <c r="C336" s="57" t="str">
        <f>VLOOKUP($A336,Questions!$A$3:$X$333,19,0)&amp;""</f>
        <v>To assess cross-border data transfer risks and ensure compliance with international privacy regulations including GDPR, data localization requirements, and data sovereignty considerations.</v>
      </c>
      <c r="D336" s="57" t="str">
        <f>VLOOKUP($A336,Questions!$A$3:$X$333,20,0)&amp;""</f>
        <v>If yes, identify which countries data flows to/from and what safeguards are in place (e.g., Standard Contractual Clauses, adequacy decisions).</v>
      </c>
    </row>
    <row r="337" spans="1:5" ht="42.9" customHeight="1" x14ac:dyDescent="0.3">
      <c r="A337" s="57" t="s">
        <v>719</v>
      </c>
      <c r="B337" s="57" t="str">
        <f>VLOOKUP($A337,Questions!$A$3:$X$333,2,0)&amp;""</f>
        <v>Do you capture device information (e.g., IP address, MAC address)?</v>
      </c>
      <c r="C337" s="57" t="str">
        <f>VLOOKUP($A337,Questions!$A$3:$X$333,19,0)&amp;""</f>
        <v>This question can clarify whether there are any indirect identifiers that don't appear to be readily identifiable but that could be identifiable in the event of unauthorized access or use.</v>
      </c>
      <c r="D337" s="57" t="str">
        <f>VLOOKUP($A337,Questions!$A$3:$X$333,20,0)&amp;""</f>
        <v/>
      </c>
    </row>
    <row r="338" spans="1:5" ht="42.9" customHeight="1" x14ac:dyDescent="0.25">
      <c r="A338" s="57" t="s">
        <v>720</v>
      </c>
      <c r="B338" s="57" t="str">
        <f>VLOOKUP($A338,Questions!$A$3:$X$333,2,0)&amp;""</f>
        <v>Does any part of this service/project involve a web/app tracking component (e.g., use of web-tracking pixels, cookies)?</v>
      </c>
      <c r="C338" s="57" t="str">
        <f>VLOOKUP($A338,Questions!$A$3:$X$333,19,0)&amp;""</f>
        <v>Web tracking can be used to identify users via their IP address, login information, browser information, etc.</v>
      </c>
      <c r="D338" s="57" t="str">
        <f>VLOOKUP($A338,Questions!$A$3:$X$333,20,0)&amp;""</f>
        <v/>
      </c>
      <c r="E338" s="241" t="s">
        <v>1454</v>
      </c>
    </row>
    <row r="339" spans="1:5" ht="42.9" customHeight="1" x14ac:dyDescent="0.3">
      <c r="A339" s="57" t="s">
        <v>721</v>
      </c>
      <c r="B339" s="57" t="str">
        <f>VLOOKUP($A339,Questions!$A$3:$X$333,2,0)&amp;""</f>
        <v>Does your staff (or a third party) have access to institutional data (e.g., financial, PHI, or other sensitive information) through any means?</v>
      </c>
      <c r="C339" s="57" t="str">
        <f>VLOOKUP($A339,Questions!$A$3:$X$333,19,0)&amp;""</f>
        <v>Institutional data may be sensitive in nature and should only be accessed for legitimate business purposes.</v>
      </c>
      <c r="D339" s="57" t="str">
        <f>VLOOKUP($A339,Questions!$A$3:$X$333,20,0)&amp;""</f>
        <v/>
      </c>
    </row>
    <row r="340" spans="1:5" ht="42.9" customHeight="1" x14ac:dyDescent="0.3">
      <c r="A340" s="57" t="s">
        <v>723</v>
      </c>
      <c r="B340" s="57" t="str">
        <f>VLOOKUP($A340,Questions!$A$3:$X$333,2,0)&amp;""</f>
        <v>Will you handle personal data in a manner compliant with all relevant laws, regulations, and applicable institution policies?</v>
      </c>
      <c r="C340" s="57" t="str">
        <f>VLOOKUP($A340,Questions!$A$3:$X$333,19,0)&amp;""</f>
        <v>Personal data that is handled improperly or against law/regulation can have significant negative impact.</v>
      </c>
      <c r="D340" s="57" t="str">
        <f>VLOOKUP($A340,Questions!$A$3:$X$333,20,0)&amp;""</f>
        <v/>
      </c>
    </row>
    <row r="341" spans="1:5" ht="42.9" customHeight="1" x14ac:dyDescent="0.3">
      <c r="A341" s="63" t="str">
        <f>VLOOKUP(LEFT($A342,4),'Auto Responses'!$N$4:$O$38,2,0)&amp;""</f>
        <v xml:space="preserve"> Privacy Policies and Procedures</v>
      </c>
      <c r="B341" s="63"/>
      <c r="C341" s="56" t="str">
        <f>Questions!$S$2</f>
        <v>Reason for Question</v>
      </c>
      <c r="D341" s="56" t="str">
        <f>Questions!$T$2</f>
        <v>Follow-Up Inquiries/Responses</v>
      </c>
    </row>
    <row r="342" spans="1:5" ht="42.9" customHeight="1" x14ac:dyDescent="0.3">
      <c r="A342" s="57" t="s">
        <v>724</v>
      </c>
      <c r="B342" s="57" t="str">
        <f>VLOOKUP($A342,Questions!$A$3:$X$333,2,0)&amp;""</f>
        <v>Do you have a documented privacy management process?</v>
      </c>
      <c r="C342" s="57" t="str">
        <f>VLOOKUP($A342,Questions!$A$3:$X$333,19,0)&amp;""</f>
        <v>It's important for customers to know their data will remain private after being shared with the vendor.</v>
      </c>
      <c r="D342" s="57" t="str">
        <f>VLOOKUP($A342,Questions!$A$3:$X$333,20,0)&amp;""</f>
        <v>Are your internal privacy practices and obligations documented in internal corporate privacy policy/policies? Does the internal privacy policy explain your organization's policies and practices regarding collection of personal information and other data about individuals?</v>
      </c>
    </row>
    <row r="343" spans="1:5" ht="42.9" customHeight="1" x14ac:dyDescent="0.3">
      <c r="A343" s="57" t="s">
        <v>727</v>
      </c>
      <c r="B343" s="57" t="str">
        <f>VLOOKUP($A343,Questions!$A$3:$X$333,2,0)&amp;""</f>
        <v>Are privacy principles designed into the product lifecycle (i.e., privacy-by-design)?</v>
      </c>
      <c r="C343" s="57" t="str">
        <f>VLOOKUP($A343,Questions!$A$3:$X$333,19,0)&amp;""</f>
        <v>Building privacy principles into the product lifecycle (e.g., privacy-by-design) can help ease the privacy management process.</v>
      </c>
      <c r="D343" s="57" t="str">
        <f>VLOOKUP($A343,Questions!$A$3:$X$333,20,0)&amp;""</f>
        <v/>
      </c>
    </row>
    <row r="344" spans="1:5" ht="42.9" customHeight="1" x14ac:dyDescent="0.25">
      <c r="A344" s="57" t="s">
        <v>730</v>
      </c>
      <c r="B344" s="57" t="str">
        <f>VLOOKUP($A344,Questions!$A$3:$X$333,2,0)&amp;""</f>
        <v>Will you comply with applicable breach notification laws?</v>
      </c>
      <c r="C344" s="57" t="str">
        <f>VLOOKUP($A344,Questions!$A$3:$X$333,19,0)&amp;""</f>
        <v>It's very important to get out in front of the impact from a system breach. Once a breach has been confirmed, timely communication is imperative.</v>
      </c>
      <c r="D344" s="57" t="str">
        <f>VLOOKUP($A344,Questions!$A$3:$X$333,20,0)&amp;""</f>
        <v>This is usually dictated by the government agency for the geographic region and, possibly, by your cybersecurity insurance carrier.</v>
      </c>
      <c r="E344" s="241" t="s">
        <v>1454</v>
      </c>
    </row>
    <row r="345" spans="1:5" ht="42.9" customHeight="1" x14ac:dyDescent="0.3">
      <c r="A345" s="57" t="s">
        <v>732</v>
      </c>
      <c r="B345" s="57" t="str">
        <f>VLOOKUP($A345,Questions!$A$3:$X$333,2,0)&amp;""</f>
        <v>Will you comply with the institution's policies regarding user privacy and data protection?</v>
      </c>
      <c r="C345" s="57" t="str">
        <f>VLOOKUP($A345,Questions!$A$3:$X$333,19,0)&amp;""</f>
        <v>This question can help gauge a solution provider's willingness to align with institutional data privacy and protection policies before the contracting stage.</v>
      </c>
      <c r="D345" s="57" t="str">
        <f>VLOOKUP($A345,Questions!$A$3:$X$333,20,0)&amp;""</f>
        <v>Do any parts of your institutional policy conflict with the solution provider's standard practices?</v>
      </c>
    </row>
    <row r="346" spans="1:5" ht="65.25" customHeight="1" x14ac:dyDescent="0.3">
      <c r="A346" s="57" t="s">
        <v>734</v>
      </c>
      <c r="B346" s="57" t="str">
        <f>VLOOKUP($A346,Questions!$A$3:$X$333,2,0)&amp;""</f>
        <v>Is your company subject to the laws and regulations of the institution's geographic region?</v>
      </c>
      <c r="C346" s="57" t="str">
        <f>VLOOKUP($A346,Questions!$A$3:$X$333,19,0)&amp;""</f>
        <v>This question identifies whether the institution and solution provider are beholden to the same laws. If not, this should be covered in the contract.</v>
      </c>
      <c r="D346" s="57" t="str">
        <f>VLOOKUP($A346,Questions!$A$3:$X$333,20,0)&amp;""</f>
        <v>Which laws apply to your operations in institution's region? Where is institutional data processed or stored? Provide a link or document summarizing your compliance stance.</v>
      </c>
    </row>
    <row r="347" spans="1:5" ht="55.2" x14ac:dyDescent="0.3">
      <c r="A347" s="57" t="s">
        <v>736</v>
      </c>
      <c r="B347" s="57" t="str">
        <f>VLOOKUP($A347,Questions!$A$3:$X$333,2,0)&amp;""</f>
        <v>Do you have a privacy awareness/training program?*</v>
      </c>
      <c r="C347" s="57" t="str">
        <f>VLOOKUP($A347,Questions!$A$3:$X$333,19,0)&amp;""</f>
        <v>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v>
      </c>
      <c r="D347" s="57" t="str">
        <f>VLOOKUP($A347,Questions!$A$3:$X$333,20,0)&amp;""</f>
        <v/>
      </c>
    </row>
    <row r="348" spans="1:5" ht="42.9" customHeight="1" x14ac:dyDescent="0.3">
      <c r="A348" s="57" t="s">
        <v>737</v>
      </c>
      <c r="B348" s="57" t="str">
        <f>VLOOKUP($A348,Questions!$A$3:$X$333,2,0)&amp;""</f>
        <v>Is privacy awareness training mandatory for all employees?</v>
      </c>
      <c r="C348" s="57" t="str">
        <f>VLOOKUP($A348,Questions!$A$3:$X$333,19,0)&amp;""</f>
        <v>This question serves a critical purpose in evaluating a vendor or institution’s commitment to data protection, risk mitigation, and regulatory compliance.</v>
      </c>
      <c r="D348" s="57" t="str">
        <f>VLOOKUP($A348,Questions!$A$3:$X$333,20,0)&amp;""</f>
        <v>This question helps assess whether privacy is treated as an organizational responsibility and whether the institution enforces consistent practices to reduce human risk factors.</v>
      </c>
    </row>
    <row r="349" spans="1:5" ht="42.9" customHeight="1" x14ac:dyDescent="0.3">
      <c r="A349" s="57" t="s">
        <v>740</v>
      </c>
      <c r="B349" s="57" t="str">
        <f>VLOOKUP($A349,Questions!$A$3:$X$333,2,0)&amp;""</f>
        <v>Is AI privacy and ethics awareness/training required for all employees who work with AI?</v>
      </c>
      <c r="C349" s="57" t="str">
        <f>VLOOKUP($A349,Questions!$A$3:$X$333,19,0)&amp;""</f>
        <v>This question is intended to assess whether an institution or vendor is proactively managing the risks, responsibilities, and ethical implications of AI use, especially as it relates to sensitive data, autonomy, and fairness.</v>
      </c>
      <c r="D349" s="57" t="str">
        <f>VLOOKUP($A349,Questions!$A$3:$X$333,20,0)&amp;""</f>
        <v>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v>
      </c>
    </row>
    <row r="350" spans="1:5" ht="70.5" customHeight="1" x14ac:dyDescent="0.25">
      <c r="A350" s="57" t="s">
        <v>743</v>
      </c>
      <c r="B350" s="57" t="str">
        <f>VLOOKUP($A350,Questions!$A$3:$X$333,2,0)&amp;""</f>
        <v>Do you have any decision-making processes that are completely automated (i.e., there is no human involvement)?</v>
      </c>
      <c r="C350" s="57" t="str">
        <f>VLOOKUP($A350,Questions!$A$3:$X$333,19,0)&amp;""</f>
        <v>This question identifies potential privacy, ethical, security, and compliance risks that may arise from fully automated systems, especially those that affect individuals or their data.</v>
      </c>
      <c r="D350" s="57" t="str">
        <f>VLOOKUP($A350,Questions!$A$3:$X$333,20,0)&amp;""</f>
        <v>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v>
      </c>
      <c r="E350" s="241" t="s">
        <v>1454</v>
      </c>
    </row>
    <row r="351" spans="1:5" ht="55.2" x14ac:dyDescent="0.3">
      <c r="A351" s="57" t="s">
        <v>744</v>
      </c>
      <c r="B351" s="57" t="str">
        <f>VLOOKUP($A351,Questions!$A$3:$X$333,2,0)&amp;""</f>
        <v>Do you have a documented process for managing automated processing, including validations, monitoring, and data subject requests?</v>
      </c>
      <c r="C351" s="57" t="str">
        <f>VLOOKUP($A351,Questions!$A$3:$X$333,19,0)&amp;""</f>
        <v>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v>
      </c>
      <c r="D351" s="57" t="str">
        <f>VLOOKUP($A351,Questions!$A$3:$X$333,20,0)&amp;""</f>
        <v/>
      </c>
    </row>
    <row r="352" spans="1:5" ht="42.9" customHeight="1" x14ac:dyDescent="0.3">
      <c r="A352" s="57" t="s">
        <v>746</v>
      </c>
      <c r="B352" s="57" t="str">
        <f>VLOOKUP($A352,Questions!$A$3:$X$333,2,0)&amp;""</f>
        <v>Do you have a documented policy for sharing information with law enforcement?</v>
      </c>
      <c r="C352" s="57" t="str">
        <f>VLOOKUP($A352,Questions!$A$3:$X$333,19,0)&amp;""</f>
        <v>The institution should know which laws apply to the data to which the solution provider will have access. You should also have a thorough understanding of how requests from law enforcement will be handled.</v>
      </c>
      <c r="D352" s="57" t="str">
        <f>VLOOKUP($A352,Questions!$A$3:$X$333,20,0)&amp;""</f>
        <v/>
      </c>
    </row>
    <row r="353" spans="1:5" ht="42.9" customHeight="1" x14ac:dyDescent="0.3">
      <c r="A353" s="57" t="s">
        <v>749</v>
      </c>
      <c r="B353" s="57" t="str">
        <f>VLOOKUP($A353,Questions!$A$3:$X$333,2,0)&amp;""</f>
        <v>Do you share any institutional data with law enforcement without a valid warrant or subpoena?*</v>
      </c>
      <c r="C353" s="57" t="str">
        <f>VLOOKUP($A353,Questions!$A$3:$X$333,19,0)&amp;""</f>
        <v>To protect institutional and individual privacy rights by ensuring data is only disclosed to law enforcement through proper legal channels with appropriate due process protections.</v>
      </c>
      <c r="D353" s="57" t="str">
        <f>VLOOKUP($A353,Questions!$A$3:$X$333,20,0)&amp;""</f>
        <v>If yes, under what circumstances and with what documentation/notification to the institution?</v>
      </c>
    </row>
    <row r="354" spans="1:5" ht="42.9" customHeight="1" x14ac:dyDescent="0.3">
      <c r="A354" s="57" t="s">
        <v>750</v>
      </c>
      <c r="B354" s="57" t="str">
        <f>VLOOKUP($A354,Questions!$A$3:$X$333,2,0)&amp;""</f>
        <v>Does your incident response team include a privacy analyst/officer?</v>
      </c>
      <c r="C354" s="57" t="str">
        <f>VLOOKUP($A354,Questions!$A$3:$X$333,19,0)&amp;""</f>
        <v>Having a privacy analyst/officer on an incident response team can help the company more quickly identify a breach and comply with applicable notification laws.</v>
      </c>
      <c r="D354" s="57" t="str">
        <f>VLOOKUP($A354,Questions!$A$3:$X$333,20,0)&amp;""</f>
        <v/>
      </c>
    </row>
    <row r="355" spans="1:5" ht="42.9" customHeight="1" x14ac:dyDescent="0.3">
      <c r="A355" s="63" t="str">
        <f>VLOOKUP(LEFT($A356,4),'Auto Responses'!$N$4:$O$38,2,0)&amp;""</f>
        <v xml:space="preserve"> International Privacy</v>
      </c>
      <c r="B355" s="63"/>
      <c r="C355" s="56" t="str">
        <f>Questions!$S$2</f>
        <v>Reason for Question</v>
      </c>
      <c r="D355" s="56" t="str">
        <f>Questions!$T$2</f>
        <v>Follow-Up Inquiries/Responses</v>
      </c>
    </row>
    <row r="356" spans="1:5" ht="42.9" customHeight="1" x14ac:dyDescent="0.25">
      <c r="A356" s="57" t="s">
        <v>752</v>
      </c>
      <c r="B356" s="57" t="str">
        <f>VLOOKUP($A356,Questions!$A$3:$X$333,2,0)&amp;""</f>
        <v>Will data be collected from or processed in or stored in the European Economic Area (EEA)?</v>
      </c>
      <c r="C356" s="57" t="str">
        <f>VLOOKUP($A356,Questions!$A$3:$X$333,19,0)&amp;""</f>
        <v>Understanding whether the vendor processes data in Europe may help with institutional GDPR compliance.</v>
      </c>
      <c r="D356" s="57" t="str">
        <f>VLOOKUP($A356,Questions!$A$3:$X$333,20,0)&amp;""</f>
        <v>If institution's intended use includes targeting of data subjects in EEA/UK and if vendor marks "no," institution might want to follow up to clarify data collected.</v>
      </c>
      <c r="E356" s="241" t="s">
        <v>1454</v>
      </c>
    </row>
    <row r="357" spans="1:5" ht="42.9" customHeight="1" x14ac:dyDescent="0.3">
      <c r="A357" s="57" t="s">
        <v>755</v>
      </c>
      <c r="B357" s="57" t="str">
        <f>VLOOKUP($A357,Questions!$A$3:$X$333,2,0)&amp;""</f>
        <v>Do you have a data protection officer (DPO)?</v>
      </c>
      <c r="C357" s="57" t="str">
        <f>VLOOKUP($A357,Questions!$A$3:$X$333,19,0)&amp;""</f>
        <v>Vendors targeting services in the EEA/UK should have GDPR-compliant policies and procedures.</v>
      </c>
      <c r="D357" s="57" t="str">
        <f>VLOOKUP($A357,Questions!$A$3:$X$333,20,0)&amp;""</f>
        <v/>
      </c>
    </row>
    <row r="358" spans="1:5" ht="42.9" customHeight="1" x14ac:dyDescent="0.3">
      <c r="A358" s="57" t="s">
        <v>757</v>
      </c>
      <c r="B358" s="57" t="str">
        <f>VLOOKUP($A358,Questions!$A$3:$X$333,2,0)&amp;""</f>
        <v>Will you sign appropriate GDPR Standard Contractual Clauses (SCCs) with the institution?</v>
      </c>
      <c r="C358" s="57" t="str">
        <f>VLOOKUP($A358,Questions!$A$3:$X$333,19,0)&amp;""</f>
        <v>Vendors targeting services in the EEA/UK should have the ability to agree to the SCCs.</v>
      </c>
      <c r="D358" s="57" t="str">
        <f>VLOOKUP($A358,Questions!$A$3:$X$333,20,0)&amp;""</f>
        <v/>
      </c>
    </row>
    <row r="359" spans="1:5" ht="42.9" customHeight="1" x14ac:dyDescent="0.3">
      <c r="A359" s="57" t="s">
        <v>759</v>
      </c>
      <c r="B359" s="57" t="str">
        <f>VLOOKUP($A359,Questions!$A$3:$X$333,2,0)&amp;""</f>
        <v>Will data be collected from or processed in or stored in China?</v>
      </c>
      <c r="C359" s="57" t="str">
        <f>VLOOKUP($A359,Questions!$A$3:$X$333,19,0)&amp;""</f>
        <v>Understanding whether the vendor processes data in China may help with institutional PIPL compliance.</v>
      </c>
      <c r="D359" s="57" t="str">
        <f>VLOOKUP($A359,Questions!$A$3:$X$333,20,0)&amp;""</f>
        <v>If institution's intended use includes targeting of data subjects in China and if vendor marks "no," institution might want to follow up to clarify data collected.</v>
      </c>
    </row>
    <row r="360" spans="1:5" ht="42.9" customHeight="1" x14ac:dyDescent="0.3">
      <c r="A360" s="57" t="s">
        <v>762</v>
      </c>
      <c r="B360" s="57" t="str">
        <f>VLOOKUP($A360,Questions!$A$3:$X$333,2,0)&amp;""</f>
        <v>Do you comply with PIPL security, privacy, and data localization requirements?</v>
      </c>
      <c r="C360" s="57" t="str">
        <f>VLOOKUP($A360,Questions!$A$3:$X$333,19,0)&amp;""</f>
        <v>Vendors targeting services in China should have the ability to comply with PIPL requirements.</v>
      </c>
      <c r="D360" s="57" t="str">
        <f>VLOOKUP($A360,Questions!$A$3:$X$333,20,0)&amp;""</f>
        <v/>
      </c>
    </row>
    <row r="361" spans="1:5" ht="42.9" customHeight="1" x14ac:dyDescent="0.3">
      <c r="A361" s="63" t="str">
        <f>VLOOKUP(LEFT($A362,4),'Auto Responses'!$N$4:$O$38,2,0)&amp;""</f>
        <v xml:space="preserve"> Data Privacy</v>
      </c>
      <c r="B361" s="63"/>
      <c r="C361" s="56" t="str">
        <f>Questions!$S$2</f>
        <v>Reason for Question</v>
      </c>
      <c r="D361" s="56" t="str">
        <f>Questions!$T$2</f>
        <v>Follow-Up Inquiries/Responses</v>
      </c>
    </row>
    <row r="362" spans="1:5" ht="42.9" customHeight="1" x14ac:dyDescent="0.3">
      <c r="A362" s="57" t="s">
        <v>1035</v>
      </c>
      <c r="B362" s="57" t="str">
        <f>VLOOKUP($A362,Questions!$A$3:$X$333,2,0)&amp;""</f>
        <v>Have you performed a Data Privacy Impact Assessment for the solution/project?</v>
      </c>
      <c r="C362" s="57" t="str">
        <f>VLOOKUP($A362,Questions!$A$3:$X$333,19,0)&amp;""</f>
        <v>To verify the vendor has systematically evaluated privacy risks and implemented appropriate safeguards before deploying their solution, demonstrating privacy-by-design principles.</v>
      </c>
      <c r="D362" s="57" t="str">
        <f>VLOOKUP($A362,Questions!$A$3:$X$333,20,0)&amp;""</f>
        <v>Please provide a copy of the DPIA or summary of findings and mitigation measures.</v>
      </c>
    </row>
    <row r="363" spans="1:5" ht="42.9" customHeight="1" x14ac:dyDescent="0.3">
      <c r="A363" s="57" t="s">
        <v>1036</v>
      </c>
      <c r="B363" s="57" t="str">
        <f>VLOOKUP($A363,Questions!$A$3:$X$333,2,0)&amp;""</f>
        <v>Do you provide an end-user privacy notice about privacy policies and procedures that identify the purpose(s) for which personal information is collected, used, retained, and disclosed?</v>
      </c>
      <c r="C363" s="57" t="str">
        <f>VLOOKUP($A363,Questions!$A$3:$X$333,19,0)&amp;""</f>
        <v>To ensure transparency with end users about data practices and compliance with privacy notice requirements under FERPA, GDPR, CCPA, and other applicable regulations.</v>
      </c>
      <c r="D363" s="57" t="str">
        <f>VLOOKUP($A363,Questions!$A$3:$X$333,20,0)&amp;""</f>
        <v>How do you inform users of changes to the policy?</v>
      </c>
    </row>
    <row r="364" spans="1:5" ht="42.9" customHeight="1" x14ac:dyDescent="0.3">
      <c r="A364" s="57" t="s">
        <v>1037</v>
      </c>
      <c r="B364" s="57" t="str">
        <f>VLOOKUP($A364,Questions!$A$3:$X$333,2,0)&amp;""</f>
        <v>Do you describe the choices available to the individual and obtain implicit or explicit consent with respect to the collection, use, and disclosure of personal information?</v>
      </c>
      <c r="C364" s="57" t="str">
        <f>VLOOKUP($A364,Questions!$A$3:$X$333,19,0)&amp;""</f>
        <v>To verify meaningful consent mechanisms exist and users have adequate control over their personal information in accordance with fair information practice principles and regulatory requirements.</v>
      </c>
      <c r="D364" s="57" t="str">
        <f>VLOOKUP($A364,Questions!$A$3:$X$333,20,0)&amp;""</f>
        <v>Describe your consent mechanism and how users can withdraw consent if they choose.</v>
      </c>
    </row>
    <row r="365" spans="1:5" ht="42.9" customHeight="1" x14ac:dyDescent="0.25">
      <c r="A365" s="57" t="s">
        <v>1038</v>
      </c>
      <c r="B365" s="57" t="str">
        <f>VLOOKUP($A365,Questions!$A$3:$X$333,2,0)&amp;""</f>
        <v>Do you collect personal information only for the purpose(s) identified in the agreement with an institution or, if there is none, the purpose(s) identified in the privacy notice?</v>
      </c>
      <c r="C365" s="57" t="str">
        <f>VLOOKUP($A365,Questions!$A$3:$X$333,19,0)&amp;""</f>
        <v>Companies may collect information for purposes not outlined in the service agreement, including quality assurance, marketing, etc. Institutions should have a thorough understanding of what data is being used and how.</v>
      </c>
      <c r="D365" s="57" t="str">
        <f>VLOOKUP($A365,Questions!$A$3:$X$333,20,0)&amp;""</f>
        <v/>
      </c>
      <c r="E365" s="241" t="s">
        <v>1454</v>
      </c>
    </row>
    <row r="366" spans="1:5" ht="42.9" customHeight="1" x14ac:dyDescent="0.3">
      <c r="A366" s="57" t="s">
        <v>1039</v>
      </c>
      <c r="B366" s="57" t="str">
        <f>VLOOKUP($A366,Questions!$A$3:$X$333,2,0)&amp;""</f>
        <v>Do you have a documented list of personal data your service maintains?</v>
      </c>
      <c r="C366" s="57" t="str">
        <f>VLOOKUP($A366,Questions!$A$3:$X$333,19,0)&amp;""</f>
        <v>To ensure the vendor maintains data inventory records necessary for privacy compliance, breach response, data subject rights requests, and understanding the full scope of data collection.</v>
      </c>
      <c r="D366" s="57" t="str">
        <f>VLOOKUP($A366,Questions!$A$3:$X$333,20,0)&amp;""</f>
        <v>Please provide your data inventory or map showing categories of personal data collected and retention periods.</v>
      </c>
    </row>
    <row r="367" spans="1:5" ht="42.9" customHeight="1" x14ac:dyDescent="0.3">
      <c r="A367" s="57" t="s">
        <v>1040</v>
      </c>
      <c r="B367" s="57" t="str">
        <f>VLOOKUP($A367,Questions!$A$3:$X$333,2,0)&amp;""</f>
        <v>Do you retain personal information for only as long as necessary to fulfill the stated purpose(s) or as required by law or regulation and thereafter appropriately dispose of such information?</v>
      </c>
      <c r="C367" s="57" t="str">
        <f>VLOOKUP($A367,Questions!$A$3:$X$333,19,0)&amp;""</f>
        <v>Data minimization is a basic privacy principle, and it is important to know whether the solution provider is keeping data longer than necessary and introducing a significant privacy risk.</v>
      </c>
      <c r="D367" s="57" t="str">
        <f>VLOOKUP($A367,Questions!$A$3:$X$333,20,0)&amp;""</f>
        <v/>
      </c>
    </row>
    <row r="368" spans="1:5" ht="55.2" x14ac:dyDescent="0.3">
      <c r="A368" s="57" t="s">
        <v>1041</v>
      </c>
      <c r="B368" s="57" t="str">
        <f>VLOOKUP($A368,Questions!$A$3:$X$333,2,0)&amp;""</f>
        <v>Do you provide individuals with access to their personal information for review and update (i.e., data subject rights)?</v>
      </c>
      <c r="C368" s="57" t="str">
        <f>VLOOKUP($A368,Questions!$A$3:$X$333,19,0)&amp;""</f>
        <v>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v>
      </c>
      <c r="D368" s="57" t="str">
        <f>VLOOKUP($A368,Questions!$A$3:$X$333,20,0)&amp;""</f>
        <v/>
      </c>
    </row>
    <row r="369" spans="1:5" ht="42.9" customHeight="1" x14ac:dyDescent="0.3">
      <c r="A369" s="57" t="s">
        <v>1042</v>
      </c>
      <c r="B369" s="57" t="str">
        <f>VLOOKUP($A369,Questions!$A$3:$X$333,2,0)&amp;""</f>
        <v>Do you disclose personal information to third parties only for the purpose(s) identified in the privacy notice or with the implicit or explicit consent of the individual?</v>
      </c>
      <c r="C369" s="57" t="str">
        <f>VLOOKUP($A369,Questions!$A$3:$X$333,19,0)&amp;""</f>
        <v>To limit unauthorized third-party data sharing and ensure transparency about data flows beyond the direct vendor relationship, protecting against unexpected secondary uses.</v>
      </c>
      <c r="D369" s="57" t="str">
        <f>VLOOKUP($A369,Questions!$A$3:$X$333,20,0)&amp;""</f>
        <v>Provide a list of third parties who receive personal information and the purpose for each disclosure.</v>
      </c>
    </row>
    <row r="370" spans="1:5" ht="42.9" customHeight="1" x14ac:dyDescent="0.3">
      <c r="A370" s="57" t="s">
        <v>1043</v>
      </c>
      <c r="B370" s="57" t="str">
        <f>VLOOKUP($A370,Questions!$A$3:$X$333,2,0)&amp;""</f>
        <v>Do you protect personal information against unauthorized access (both physical and logical)?</v>
      </c>
      <c r="C370" s="57" t="str">
        <f>VLOOKUP($A370,Questions!$A$3:$X$333,19,0)&amp;""</f>
        <v>To verify appropriate security controls are in place to protect personal data from breaches, unauthorized disclosure, and both external and internal threats.</v>
      </c>
      <c r="D370" s="57" t="str">
        <f>VLOOKUP($A370,Questions!$A$3:$X$333,20,0)&amp;""</f>
        <v>Describe your access control mechanisms, encryption methods, and incident response procedures.</v>
      </c>
    </row>
    <row r="371" spans="1:5" ht="42.9" customHeight="1" x14ac:dyDescent="0.3">
      <c r="A371" s="57" t="s">
        <v>1044</v>
      </c>
      <c r="B371" s="57" t="str">
        <f>VLOOKUP($A371,Questions!$A$3:$X$333,2,0)&amp;""</f>
        <v>Do you maintain accurate, complete, and relevant personal information for the purposes identified in the privacy notice?</v>
      </c>
      <c r="C371" s="57" t="str">
        <f>VLOOKUP($A371,Questions!$A$3:$X$333,19,0)&amp;""</f>
        <v>To ensure data quality practices that prevent privacy harms from inaccurate or outdated personal information, particularly in contexts where data accuracy affects individual rights or opportunities.</v>
      </c>
      <c r="D371" s="57" t="str">
        <f>VLOOKUP($A371,Questions!$A$3:$X$333,20,0)&amp;""</f>
        <v>What processes do you have for individuals to review and correct their personal information?</v>
      </c>
    </row>
    <row r="372" spans="1:5" ht="42.9" customHeight="1" x14ac:dyDescent="0.25">
      <c r="A372" s="57" t="s">
        <v>1045</v>
      </c>
      <c r="B372" s="57" t="str">
        <f>VLOOKUP($A372,Questions!$A$3:$X$333,2,0)&amp;""</f>
        <v>Do you have procedures to address privacy-related noncompliance complaints and disputes?</v>
      </c>
      <c r="C372" s="57" t="str">
        <f>VLOOKUP($A372,Questions!$A$3:$X$333,19,0)&amp;""</f>
        <v>To verify accountability mechanisms exist for addressing privacy concerns, providing recourse to affected individuals, and demonstrating responsiveness to privacy complaints.</v>
      </c>
      <c r="D372" s="57" t="str">
        <f>VLOOKUP($A372,Questions!$A$3:$X$333,20,0)&amp;""</f>
        <v>Describe your complaint handling process, typical response times, and escalation procedures.</v>
      </c>
      <c r="E372" s="241" t="s">
        <v>1454</v>
      </c>
    </row>
    <row r="373" spans="1:5" ht="27.6" x14ac:dyDescent="0.3">
      <c r="A373" s="57" t="s">
        <v>1046</v>
      </c>
      <c r="B373" s="57" t="str">
        <f>VLOOKUP($A373,Questions!$A$3:$X$333,2,0)&amp;""</f>
        <v>Do you "anonymize," "de-identify," or otherwise mask personal data?</v>
      </c>
      <c r="C373" s="57" t="str">
        <f>VLOOKUP($A373,Questions!$A$3:$X$333,19,0)&amp;""</f>
        <v>To understand the vendor's approach to privacy-enhancing techniques and assess whether data masking methods are appropriate, effective, and aligned with recognized anonymization standards.</v>
      </c>
      <c r="D373" s="57" t="str">
        <f>VLOOKUP($A373,Questions!$A$3:$X$333,20,0)&amp;""</f>
        <v>Describe your anonymization methodology and any validation or testing performed to ensure re-identification risks are minimized.</v>
      </c>
    </row>
    <row r="374" spans="1:5" ht="69" x14ac:dyDescent="0.3">
      <c r="A374" s="57" t="s">
        <v>1047</v>
      </c>
      <c r="B374" s="57" t="str">
        <f>VLOOKUP($A374,Questions!$A$3:$X$333,2,0)&amp;""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374" s="57" t="str">
        <f>VLOOKUP($A374,Questions!$A$3:$X$333,19,0)&amp;""</f>
        <v>To prevent secondary use of institutional data that could undermine privacy protections, contradict institutional data governance policies, or enable commercial uses incompatible with educational purposes.</v>
      </c>
      <c r="D374" s="57" t="str">
        <f>VLOOKUP($A374,Questions!$A$3:$X$333,20,0)&amp;""</f>
        <v>If yes, provide details on secondary uses and obtain specific written consent from the institution for these uses.</v>
      </c>
    </row>
    <row r="375" spans="1:5" ht="55.2" x14ac:dyDescent="0.3">
      <c r="A375" s="57" t="s">
        <v>1048</v>
      </c>
      <c r="B375" s="57" t="str">
        <f>VLOOKUP($A375,Questions!$A$3:$X$333,2,0)&amp;""</f>
        <v>Do you certify stop-processing requests, including any data that is processed by a third party on your behalf?</v>
      </c>
      <c r="C375" s="57" t="str">
        <f>VLOOKUP($A375,Questions!$A$3:$X$333,19,0)&amp;""</f>
        <v>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v>
      </c>
      <c r="D375" s="57" t="str">
        <f>VLOOKUP($A375,Questions!$A$3:$X$333,20,0)&amp;""</f>
        <v>If your organization has exchange programs or does business with global organizations or organizations located outside the United States, depending on the services sought, your institution should determine whether this is a requirement.</v>
      </c>
    </row>
    <row r="376" spans="1:5" ht="41.4" x14ac:dyDescent="0.3">
      <c r="A376" s="57" t="s">
        <v>1049</v>
      </c>
      <c r="B376" s="57" t="str">
        <f>VLOOKUP($A376,Questions!$A$3:$X$333,2,0)&amp;""</f>
        <v>Do you have a process to review code for ethical considerations?</v>
      </c>
      <c r="C376" s="57" t="str">
        <f>VLOOKUP($A376,Questions!$A$3:$X$333,19,0)&amp;""</f>
        <v>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v>
      </c>
      <c r="D376" s="57" t="str">
        <f>VLOOKUP($A376,Questions!$A$3:$X$333,20,0)&amp;""</f>
        <v/>
      </c>
    </row>
    <row r="377" spans="1:5" ht="17.399999999999999" hidden="1" x14ac:dyDescent="0.3">
      <c r="A377" s="63" t="str">
        <f>VLOOKUP(LEFT($A378,4),'Auto Responses'!$N$4:$O$38,2,0)&amp;""</f>
        <v xml:space="preserve"> Privacy and AI</v>
      </c>
      <c r="B377" s="63"/>
      <c r="C377" s="56" t="str">
        <f>Questions!$S$2</f>
        <v>Reason for Question</v>
      </c>
      <c r="D377" s="56" t="str">
        <f>Questions!$T$2</f>
        <v>Follow-Up Inquiries/Responses</v>
      </c>
    </row>
    <row r="378" spans="1:5" ht="27.6" hidden="1" x14ac:dyDescent="0.3">
      <c r="A378" s="57" t="s">
        <v>1050</v>
      </c>
      <c r="B378" s="57" t="str">
        <f>VLOOKUP($A378,Questions!$A$3:$X$333,2,0)&amp;""</f>
        <v>Does your service use AI for the processing of institutional data?</v>
      </c>
      <c r="C378" s="57" t="str">
        <f>VLOOKUP($A378,Questions!$A$3:$X$333,18,0)&amp;""</f>
        <v>Please explain why this does not apply to your product or service.</v>
      </c>
      <c r="D378" s="57" t="str">
        <f>VLOOKUP($A378,Questions!$A$3:$X$333,19,0)&amp;""</f>
        <v>To identify AI-related privacy risks including potential bias, unintended disclosures, lack of explainability in automated decision-making, and training data provenance concerns.</v>
      </c>
    </row>
    <row r="379" spans="1:5" ht="27.6" hidden="1" x14ac:dyDescent="0.3">
      <c r="A379" s="57" t="s">
        <v>1051</v>
      </c>
      <c r="B379" s="57" t="str">
        <f>VLOOKUP($A379,Questions!$A$3:$X$333,2,0)&amp;""</f>
        <v>Is any institutional data retained in AI processing?*</v>
      </c>
      <c r="C379" s="57" t="str">
        <f>VLOOKUP($A379,Questions!$A$3:$X$333,18,0)&amp;""</f>
        <v>Please explain why this does not apply to your product or service.</v>
      </c>
      <c r="D379" s="57" t="str">
        <f>VLOOKUP($A379,Questions!$A$3:$X$333,19,0)&amp;""</f>
        <v>This question assesses whether institutional data is stored or retained during AI processing, which may have implications for data security, retention policies, and regulatory compliance.</v>
      </c>
    </row>
    <row r="380" spans="1:5" ht="27.6" hidden="1" x14ac:dyDescent="0.3">
      <c r="A380" s="57" t="s">
        <v>773</v>
      </c>
      <c r="B380" s="57" t="str">
        <f>VLOOKUP($A380,Questions!$A$3:$X$333,2,0)&amp;""</f>
        <v>Do you have agreements in place with third parties or subprocessors regarding the protection of customer data and use of AI?*</v>
      </c>
      <c r="C380" s="57" t="str">
        <f>VLOOKUP($A380,Questions!$A$3:$X$333,18,0)&amp;""</f>
        <v>Please explain why this does not apply to your product or service.</v>
      </c>
      <c r="D380" s="57" t="str">
        <f>VLOOKUP($A380,Questions!$A$3:$X$333,19,0)&amp;""</f>
        <v>It's important to ensure that third-party vendors or subprocessors involved in AI processing are contractually bound to protect institutional data and comply with privacy standards.</v>
      </c>
    </row>
    <row r="381" spans="1:5" ht="27.6" hidden="1" x14ac:dyDescent="0.3">
      <c r="A381" s="57" t="s">
        <v>775</v>
      </c>
      <c r="B381" s="57" t="str">
        <f>VLOOKUP($A381,Questions!$A$3:$X$333,2,0)&amp;""</f>
        <v>Will institutional data be processed through a third party or subprocessor that also uses AI?</v>
      </c>
      <c r="C381" s="57" t="str">
        <f>VLOOKUP($A381,Questions!$A$3:$X$333,18,0)&amp;""</f>
        <v>Please explain why this does not apply to your product or service.</v>
      </c>
      <c r="D381" s="57" t="str">
        <f>VLOOKUP($A381,Questions!$A$3:$X$333,19,0)&amp;""</f>
        <v>This question identifies whether institutional data is shared with or processed by third parties that use AI, which may introduce additional privacy or ethical considerations.</v>
      </c>
    </row>
    <row r="382" spans="1:5" ht="27.6" hidden="1" x14ac:dyDescent="0.3">
      <c r="A382" s="57" t="s">
        <v>776</v>
      </c>
      <c r="B382" s="57" t="str">
        <f>VLOOKUP($A382,Questions!$A$3:$X$333,2,0)&amp;""</f>
        <v>Is AI processing limited to fully licensed commercial enterprise AI services?</v>
      </c>
      <c r="C382" s="57" t="str">
        <f>VLOOKUP($A382,Questions!$A$3:$X$333,18,0)&amp;""</f>
        <v>Please explain why this does not apply to your product or service.</v>
      </c>
      <c r="D382" s="57" t="str">
        <f>VLOOKUP($A382,Questions!$A$3:$X$333,19,0)&amp;""</f>
        <v>In most cases, only enterprise licenses allow for an organization to customize what data is collected and how it is used. Free licenses to AI tools could introduce a risk to data.</v>
      </c>
    </row>
    <row r="383" spans="1:5" ht="41.4" hidden="1" x14ac:dyDescent="0.3">
      <c r="A383" s="57" t="s">
        <v>778</v>
      </c>
      <c r="B383" s="57" t="str">
        <f>VLOOKUP($A383,Questions!$A$3:$X$333,2,0)&amp;""</f>
        <v>Will institutional data be used or processed by any shared AI services?</v>
      </c>
      <c r="C383" s="57" t="str">
        <f>VLOOKUP($A383,Questions!$A$3:$X$333,18,0)&amp;""</f>
        <v>Please explain why this does not apply to your product or service.</v>
      </c>
      <c r="D383" s="57" t="str">
        <f>VLOOKUP($A383,Questions!$A$3:$X$333,19,0)&amp;""</f>
        <v>Use of AI services and tools runs a risk of being supported by bad batches or databanks of information. Additionally, harmful bias and other data-quality issues can affect AI system trustworthiness, which could lead to negative impacts.</v>
      </c>
    </row>
    <row r="384" spans="1:5" ht="41.4" hidden="1" x14ac:dyDescent="0.3">
      <c r="A384" s="57" t="s">
        <v>779</v>
      </c>
      <c r="B384" s="57" t="str">
        <f>VLOOKUP($A384,Questions!$A$3:$X$333,2,0)&amp;""</f>
        <v>Do you have safeguards in place to protect institutional data and data privacy from unintended AI queries or processing?</v>
      </c>
      <c r="C384" s="57" t="str">
        <f>VLOOKUP($A384,Questions!$A$3:$X$333,18,0)&amp;""</f>
        <v>Please explain why this does not apply to your product or service.</v>
      </c>
      <c r="D384" s="57" t="str">
        <f>VLOOKUP($A384,Questions!$A$3:$X$333,19,0)&amp;""</f>
        <v>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v>
      </c>
    </row>
    <row r="385" spans="1:4" ht="27.6" hidden="1" x14ac:dyDescent="0.3">
      <c r="A385" s="57" t="s">
        <v>780</v>
      </c>
      <c r="B385" s="57" t="str">
        <f>VLOOKUP($A385,Questions!$A$3:$X$333,2,0)&amp;""</f>
        <v>Do you provide choice to the user to opt out of AI use?</v>
      </c>
      <c r="C385" s="57" t="str">
        <f>VLOOKUP($A385,Questions!$A$3:$X$333,18,0)&amp;""</f>
        <v>Please explain why this does not apply to your product or service.</v>
      </c>
      <c r="D385" s="57" t="str">
        <f>VLOOKUP($A385,Questions!$A$3:$X$333,19,0)&amp;""</f>
        <v>To ensure user autonomy regarding AI processing of their data and compliance with emerging AI transparency requirements and ethical principles around algorithmic decision-making.</v>
      </c>
    </row>
  </sheetData>
  <phoneticPr fontId="31" type="noConversion"/>
  <hyperlinks>
    <hyperlink ref="A3" r:id="rId1" xr:uid="{41BD2702-361A-4A84-800B-915F790E3241}"/>
    <hyperlink ref="A4" r:id="rId2" xr:uid="{DD63660F-DB27-4595-A272-6F152889FED3}"/>
  </hyperlinks>
  <pageMargins left="0.7" right="0.7" top="0.75" bottom="0.75" header="0.3" footer="0.3"/>
  <pageSetup orientation="portrait" verticalDpi="0" r:id="rId3"/>
  <ignoredErrors>
    <ignoredError sqref="D1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9DD12-A215-4F94-9D0E-7008C3D3A25F}">
  <sheetPr>
    <tabColor rgb="FFFF0000"/>
    <outlinePr summaryBelow="0" summaryRight="0"/>
  </sheetPr>
  <dimension ref="A1:X963"/>
  <sheetViews>
    <sheetView zoomScale="80" zoomScaleNormal="80" workbookViewId="0">
      <pane xSplit="2" ySplit="2" topLeftCell="C325" activePane="bottomRight" state="frozen"/>
      <selection pane="topRight" activeCell="C1" sqref="C1"/>
      <selection pane="bottomLeft" activeCell="A2" sqref="A2"/>
      <selection pane="bottomRight" activeCell="O329" sqref="O329"/>
    </sheetView>
  </sheetViews>
  <sheetFormatPr defaultColWidth="8.765625" defaultRowHeight="15.75" customHeight="1" x14ac:dyDescent="0.3"/>
  <cols>
    <col min="1" max="1" width="8.765625" style="341" customWidth="1"/>
    <col min="2" max="2" width="35.69140625" style="341" customWidth="1"/>
    <col min="3" max="3" width="6.23046875" style="341" customWidth="1"/>
    <col min="4" max="4" width="5.921875" style="341" customWidth="1"/>
    <col min="5" max="5" width="6.69140625" style="341" customWidth="1"/>
    <col min="6" max="6" width="7.23046875" style="341" customWidth="1"/>
    <col min="7" max="7" width="7.3046875" style="341" customWidth="1"/>
    <col min="8" max="9" width="7.4609375" style="341" customWidth="1"/>
    <col min="10" max="10" width="6.921875" style="341" customWidth="1"/>
    <col min="11" max="11" width="15.3828125" style="341" customWidth="1"/>
    <col min="12" max="12" width="12.69140625" style="341" customWidth="1"/>
    <col min="13" max="13" width="8.765625" style="341" customWidth="1"/>
    <col min="14" max="20" width="18.23046875" style="341" customWidth="1"/>
    <col min="21" max="22" width="8.765625" style="341" customWidth="1"/>
    <col min="23" max="23" width="10.921875" style="341" customWidth="1"/>
    <col min="24" max="24" width="11.23046875" style="341" customWidth="1"/>
    <col min="25" max="16384" width="8.765625" style="341"/>
  </cols>
  <sheetData>
    <row r="1" spans="1:24" ht="15.75" hidden="1" customHeight="1" x14ac:dyDescent="0.3">
      <c r="A1" s="340" t="s">
        <v>1458</v>
      </c>
    </row>
    <row r="2" spans="1:24" ht="27.6" x14ac:dyDescent="0.3">
      <c r="A2" s="342" t="s">
        <v>0</v>
      </c>
      <c r="B2" s="342" t="s">
        <v>1</v>
      </c>
      <c r="C2" s="343" t="s">
        <v>2</v>
      </c>
      <c r="D2" s="343" t="s">
        <v>3</v>
      </c>
      <c r="E2" s="343" t="s">
        <v>4</v>
      </c>
      <c r="F2" s="343" t="s">
        <v>5</v>
      </c>
      <c r="G2" s="343" t="s">
        <v>6</v>
      </c>
      <c r="H2" s="343" t="s">
        <v>7</v>
      </c>
      <c r="I2" s="343" t="s">
        <v>8</v>
      </c>
      <c r="J2" s="343" t="s">
        <v>9</v>
      </c>
      <c r="K2" s="344" t="s">
        <v>10</v>
      </c>
      <c r="L2" s="343" t="s">
        <v>11</v>
      </c>
      <c r="M2" s="345" t="s">
        <v>12</v>
      </c>
      <c r="N2" s="343" t="s">
        <v>13</v>
      </c>
      <c r="O2" s="343" t="s">
        <v>14</v>
      </c>
      <c r="P2" s="343" t="s">
        <v>15</v>
      </c>
      <c r="Q2" s="343" t="s">
        <v>16</v>
      </c>
      <c r="R2" s="343" t="s">
        <v>1526</v>
      </c>
      <c r="S2" s="346" t="s">
        <v>17</v>
      </c>
      <c r="T2" s="346" t="s">
        <v>873</v>
      </c>
      <c r="U2" s="347" t="s">
        <v>869</v>
      </c>
      <c r="V2" s="347" t="s">
        <v>18</v>
      </c>
      <c r="W2" s="347" t="s">
        <v>19</v>
      </c>
      <c r="X2" s="347" t="s">
        <v>20</v>
      </c>
    </row>
    <row r="3" spans="1:24" ht="13.8" x14ac:dyDescent="0.3">
      <c r="A3" s="348" t="s">
        <v>21</v>
      </c>
      <c r="B3" s="348" t="s">
        <v>1382</v>
      </c>
      <c r="C3" s="348">
        <v>1</v>
      </c>
      <c r="D3" s="348">
        <v>1</v>
      </c>
      <c r="E3" s="348">
        <v>1</v>
      </c>
      <c r="F3" s="348">
        <v>1</v>
      </c>
      <c r="G3" s="348">
        <v>1</v>
      </c>
      <c r="H3" s="348">
        <v>1</v>
      </c>
      <c r="I3" s="348">
        <v>1</v>
      </c>
      <c r="J3" s="348">
        <v>1</v>
      </c>
      <c r="K3" s="348" t="s">
        <v>22</v>
      </c>
      <c r="L3" s="348" t="s">
        <v>23</v>
      </c>
      <c r="M3" s="348">
        <v>0</v>
      </c>
      <c r="N3" s="348" t="s">
        <v>975</v>
      </c>
      <c r="O3" s="348" t="s">
        <v>975</v>
      </c>
      <c r="P3" s="348" t="s">
        <v>975</v>
      </c>
      <c r="Q3" s="348" t="s">
        <v>975</v>
      </c>
      <c r="R3" s="348"/>
      <c r="S3" s="348" t="s">
        <v>975</v>
      </c>
      <c r="T3" s="348" t="s">
        <v>975</v>
      </c>
      <c r="U3" s="348" t="s">
        <v>1004</v>
      </c>
      <c r="V3" s="348" t="s">
        <v>975</v>
      </c>
      <c r="W3" s="348" t="s">
        <v>975</v>
      </c>
      <c r="X3" s="348"/>
    </row>
    <row r="4" spans="1:24" ht="13.8" x14ac:dyDescent="0.3">
      <c r="A4" s="348" t="s">
        <v>24</v>
      </c>
      <c r="B4" s="348" t="s">
        <v>1205</v>
      </c>
      <c r="C4" s="348">
        <v>1</v>
      </c>
      <c r="D4" s="348">
        <v>1</v>
      </c>
      <c r="E4" s="348">
        <v>1</v>
      </c>
      <c r="F4" s="348">
        <v>1</v>
      </c>
      <c r="G4" s="348">
        <v>1</v>
      </c>
      <c r="H4" s="348">
        <v>1</v>
      </c>
      <c r="I4" s="348">
        <v>1</v>
      </c>
      <c r="J4" s="348">
        <v>1</v>
      </c>
      <c r="K4" s="348" t="s">
        <v>22</v>
      </c>
      <c r="L4" s="348" t="s">
        <v>23</v>
      </c>
      <c r="M4" s="348" t="s">
        <v>983</v>
      </c>
      <c r="N4" s="348" t="s">
        <v>975</v>
      </c>
      <c r="O4" s="348" t="s">
        <v>975</v>
      </c>
      <c r="P4" s="348" t="s">
        <v>975</v>
      </c>
      <c r="Q4" s="348" t="s">
        <v>975</v>
      </c>
      <c r="R4" s="348"/>
      <c r="S4" s="348" t="s">
        <v>975</v>
      </c>
      <c r="T4" s="348" t="s">
        <v>975</v>
      </c>
      <c r="U4" s="348" t="s">
        <v>1004</v>
      </c>
      <c r="V4" s="348" t="s">
        <v>975</v>
      </c>
      <c r="W4" s="348" t="s">
        <v>975</v>
      </c>
      <c r="X4" s="348"/>
    </row>
    <row r="5" spans="1:24" ht="13.8" x14ac:dyDescent="0.3">
      <c r="A5" s="348" t="s">
        <v>25</v>
      </c>
      <c r="B5" s="348" t="s">
        <v>1206</v>
      </c>
      <c r="C5" s="348">
        <v>1</v>
      </c>
      <c r="D5" s="348">
        <v>1</v>
      </c>
      <c r="E5" s="348">
        <v>1</v>
      </c>
      <c r="F5" s="348">
        <v>1</v>
      </c>
      <c r="G5" s="348">
        <v>1</v>
      </c>
      <c r="H5" s="348">
        <v>1</v>
      </c>
      <c r="I5" s="348">
        <v>1</v>
      </c>
      <c r="J5" s="348">
        <v>1</v>
      </c>
      <c r="K5" s="348" t="s">
        <v>22</v>
      </c>
      <c r="L5" s="348" t="s">
        <v>23</v>
      </c>
      <c r="M5" s="348" t="s">
        <v>983</v>
      </c>
      <c r="N5" s="348" t="s">
        <v>975</v>
      </c>
      <c r="O5" s="348" t="s">
        <v>975</v>
      </c>
      <c r="P5" s="348" t="s">
        <v>975</v>
      </c>
      <c r="Q5" s="348" t="s">
        <v>975</v>
      </c>
      <c r="R5" s="348"/>
      <c r="S5" s="348" t="s">
        <v>975</v>
      </c>
      <c r="T5" s="348" t="s">
        <v>975</v>
      </c>
      <c r="U5" s="348" t="s">
        <v>1004</v>
      </c>
      <c r="V5" s="348" t="s">
        <v>975</v>
      </c>
      <c r="W5" s="348" t="s">
        <v>975</v>
      </c>
      <c r="X5" s="348"/>
    </row>
    <row r="6" spans="1:24" ht="13.8" x14ac:dyDescent="0.3">
      <c r="A6" s="348" t="s">
        <v>26</v>
      </c>
      <c r="B6" s="348" t="s">
        <v>1383</v>
      </c>
      <c r="C6" s="348">
        <v>1</v>
      </c>
      <c r="D6" s="348">
        <v>1</v>
      </c>
      <c r="E6" s="348">
        <v>0</v>
      </c>
      <c r="F6" s="348">
        <v>0</v>
      </c>
      <c r="G6" s="348">
        <v>0</v>
      </c>
      <c r="H6" s="348">
        <v>0</v>
      </c>
      <c r="I6" s="348">
        <v>0</v>
      </c>
      <c r="J6" s="348">
        <v>0</v>
      </c>
      <c r="K6" s="348" t="s">
        <v>22</v>
      </c>
      <c r="L6" s="348" t="s">
        <v>23</v>
      </c>
      <c r="M6" s="348" t="s">
        <v>983</v>
      </c>
      <c r="N6" s="348" t="s">
        <v>975</v>
      </c>
      <c r="O6" s="348" t="s">
        <v>975</v>
      </c>
      <c r="P6" s="348" t="s">
        <v>975</v>
      </c>
      <c r="Q6" s="348" t="s">
        <v>975</v>
      </c>
      <c r="R6" s="348"/>
      <c r="S6" s="348" t="s">
        <v>975</v>
      </c>
      <c r="T6" s="348" t="s">
        <v>975</v>
      </c>
      <c r="U6" s="348" t="s">
        <v>1004</v>
      </c>
      <c r="V6" s="348" t="s">
        <v>975</v>
      </c>
      <c r="W6" s="348" t="s">
        <v>975</v>
      </c>
      <c r="X6" s="348"/>
    </row>
    <row r="7" spans="1:24" ht="13.8" x14ac:dyDescent="0.3">
      <c r="A7" s="348" t="s">
        <v>27</v>
      </c>
      <c r="B7" s="348" t="s">
        <v>1384</v>
      </c>
      <c r="C7" s="348">
        <v>1</v>
      </c>
      <c r="D7" s="348">
        <v>1</v>
      </c>
      <c r="E7" s="348">
        <v>0</v>
      </c>
      <c r="F7" s="348">
        <v>0</v>
      </c>
      <c r="G7" s="348">
        <v>0</v>
      </c>
      <c r="H7" s="348">
        <v>0</v>
      </c>
      <c r="I7" s="348">
        <v>0</v>
      </c>
      <c r="J7" s="348">
        <v>0</v>
      </c>
      <c r="K7" s="348" t="s">
        <v>22</v>
      </c>
      <c r="L7" s="348" t="s">
        <v>23</v>
      </c>
      <c r="M7" s="348" t="s">
        <v>983</v>
      </c>
      <c r="N7" s="348" t="s">
        <v>975</v>
      </c>
      <c r="O7" s="348" t="s">
        <v>975</v>
      </c>
      <c r="P7" s="348" t="s">
        <v>975</v>
      </c>
      <c r="Q7" s="348" t="s">
        <v>975</v>
      </c>
      <c r="R7" s="348"/>
      <c r="S7" s="348" t="s">
        <v>975</v>
      </c>
      <c r="T7" s="348" t="s">
        <v>975</v>
      </c>
      <c r="U7" s="348" t="s">
        <v>1004</v>
      </c>
      <c r="V7" s="348" t="s">
        <v>975</v>
      </c>
      <c r="W7" s="348" t="s">
        <v>975</v>
      </c>
      <c r="X7" s="348"/>
    </row>
    <row r="8" spans="1:24" ht="13.8" x14ac:dyDescent="0.3">
      <c r="A8" s="348" t="s">
        <v>28</v>
      </c>
      <c r="B8" s="348" t="s">
        <v>1385</v>
      </c>
      <c r="C8" s="348">
        <v>1</v>
      </c>
      <c r="D8" s="348">
        <v>1</v>
      </c>
      <c r="E8" s="348">
        <v>0</v>
      </c>
      <c r="F8" s="348">
        <v>0</v>
      </c>
      <c r="G8" s="348">
        <v>0</v>
      </c>
      <c r="H8" s="348">
        <v>0</v>
      </c>
      <c r="I8" s="348">
        <v>0</v>
      </c>
      <c r="J8" s="348">
        <v>0</v>
      </c>
      <c r="K8" s="348" t="s">
        <v>22</v>
      </c>
      <c r="L8" s="348" t="s">
        <v>23</v>
      </c>
      <c r="M8" s="348" t="s">
        <v>983</v>
      </c>
      <c r="N8" s="348" t="s">
        <v>975</v>
      </c>
      <c r="O8" s="348" t="s">
        <v>975</v>
      </c>
      <c r="P8" s="348" t="s">
        <v>975</v>
      </c>
      <c r="Q8" s="348" t="s">
        <v>975</v>
      </c>
      <c r="R8" s="348"/>
      <c r="S8" s="348" t="s">
        <v>975</v>
      </c>
      <c r="T8" s="348" t="s">
        <v>975</v>
      </c>
      <c r="U8" s="348" t="s">
        <v>1004</v>
      </c>
      <c r="V8" s="348" t="s">
        <v>975</v>
      </c>
      <c r="W8" s="348" t="s">
        <v>975</v>
      </c>
      <c r="X8" s="348"/>
    </row>
    <row r="9" spans="1:24" ht="13.8" x14ac:dyDescent="0.3">
      <c r="A9" s="348" t="s">
        <v>29</v>
      </c>
      <c r="B9" s="348" t="s">
        <v>1386</v>
      </c>
      <c r="C9" s="348">
        <v>1</v>
      </c>
      <c r="D9" s="348">
        <v>1</v>
      </c>
      <c r="E9" s="348">
        <v>0</v>
      </c>
      <c r="F9" s="348">
        <v>0</v>
      </c>
      <c r="G9" s="348">
        <v>0</v>
      </c>
      <c r="H9" s="348">
        <v>0</v>
      </c>
      <c r="I9" s="348">
        <v>0</v>
      </c>
      <c r="J9" s="348">
        <v>0</v>
      </c>
      <c r="K9" s="348" t="s">
        <v>22</v>
      </c>
      <c r="L9" s="348" t="s">
        <v>23</v>
      </c>
      <c r="M9" s="348" t="s">
        <v>983</v>
      </c>
      <c r="N9" s="348" t="s">
        <v>975</v>
      </c>
      <c r="O9" s="348" t="s">
        <v>975</v>
      </c>
      <c r="P9" s="348" t="s">
        <v>975</v>
      </c>
      <c r="Q9" s="348" t="s">
        <v>975</v>
      </c>
      <c r="R9" s="348"/>
      <c r="S9" s="348" t="s">
        <v>975</v>
      </c>
      <c r="T9" s="348" t="s">
        <v>975</v>
      </c>
      <c r="U9" s="348" t="s">
        <v>1004</v>
      </c>
      <c r="V9" s="348" t="s">
        <v>975</v>
      </c>
      <c r="W9" s="348" t="s">
        <v>975</v>
      </c>
      <c r="X9" s="348"/>
    </row>
    <row r="10" spans="1:24" ht="13.8" x14ac:dyDescent="0.3">
      <c r="A10" s="348" t="s">
        <v>30</v>
      </c>
      <c r="B10" s="348" t="s">
        <v>31</v>
      </c>
      <c r="C10" s="348">
        <v>1</v>
      </c>
      <c r="D10" s="348">
        <v>1</v>
      </c>
      <c r="E10" s="348">
        <v>1</v>
      </c>
      <c r="F10" s="348">
        <v>1</v>
      </c>
      <c r="G10" s="348">
        <v>1</v>
      </c>
      <c r="H10" s="348">
        <v>1</v>
      </c>
      <c r="I10" s="348">
        <v>1</v>
      </c>
      <c r="J10" s="348">
        <v>1</v>
      </c>
      <c r="K10" s="348" t="s">
        <v>22</v>
      </c>
      <c r="L10" s="348" t="s">
        <v>23</v>
      </c>
      <c r="M10" s="348" t="s">
        <v>975</v>
      </c>
      <c r="N10" s="348" t="s">
        <v>975</v>
      </c>
      <c r="O10" s="348" t="s">
        <v>975</v>
      </c>
      <c r="P10" s="348" t="s">
        <v>975</v>
      </c>
      <c r="Q10" s="348" t="s">
        <v>975</v>
      </c>
      <c r="R10" s="348"/>
      <c r="S10" s="348" t="s">
        <v>975</v>
      </c>
      <c r="T10" s="348" t="s">
        <v>975</v>
      </c>
      <c r="U10" s="348" t="s">
        <v>1004</v>
      </c>
      <c r="V10" s="348" t="s">
        <v>975</v>
      </c>
      <c r="W10" s="348" t="s">
        <v>975</v>
      </c>
      <c r="X10" s="348"/>
    </row>
    <row r="11" spans="1:24" ht="41.4" x14ac:dyDescent="0.3">
      <c r="A11" s="348" t="s">
        <v>32</v>
      </c>
      <c r="B11" s="348" t="s">
        <v>33</v>
      </c>
      <c r="C11" s="348">
        <v>1</v>
      </c>
      <c r="D11" s="348">
        <v>0</v>
      </c>
      <c r="E11" s="348">
        <v>0</v>
      </c>
      <c r="F11" s="348">
        <v>0</v>
      </c>
      <c r="G11" s="348">
        <v>0</v>
      </c>
      <c r="H11" s="348">
        <v>0</v>
      </c>
      <c r="I11" s="348">
        <v>0</v>
      </c>
      <c r="J11" s="348">
        <v>1</v>
      </c>
      <c r="K11" s="348" t="s">
        <v>22</v>
      </c>
      <c r="L11" s="348" t="s">
        <v>23</v>
      </c>
      <c r="M11" s="348" t="s">
        <v>983</v>
      </c>
      <c r="N11" s="348" t="s">
        <v>975</v>
      </c>
      <c r="O11" s="348" t="s">
        <v>975</v>
      </c>
      <c r="P11" s="348" t="s">
        <v>975</v>
      </c>
      <c r="Q11" s="348" t="s">
        <v>975</v>
      </c>
      <c r="R11" s="348"/>
      <c r="S11" s="348" t="s">
        <v>1217</v>
      </c>
      <c r="T11" s="348" t="s">
        <v>34</v>
      </c>
      <c r="U11" s="348" t="s">
        <v>1004</v>
      </c>
      <c r="V11" s="348" t="s">
        <v>975</v>
      </c>
      <c r="W11" s="348" t="s">
        <v>975</v>
      </c>
      <c r="X11" s="348"/>
    </row>
    <row r="12" spans="1:24" ht="220.8" x14ac:dyDescent="0.3">
      <c r="A12" s="360" t="s">
        <v>35</v>
      </c>
      <c r="B12" s="360" t="s">
        <v>1055</v>
      </c>
      <c r="C12" s="348">
        <v>1</v>
      </c>
      <c r="D12" s="348">
        <v>0</v>
      </c>
      <c r="E12" s="348">
        <v>0</v>
      </c>
      <c r="F12" s="348">
        <v>0</v>
      </c>
      <c r="G12" s="348">
        <v>0</v>
      </c>
      <c r="H12" s="348">
        <v>0</v>
      </c>
      <c r="I12" s="348">
        <v>0</v>
      </c>
      <c r="J12" s="348">
        <v>1</v>
      </c>
      <c r="K12" s="348"/>
      <c r="L12" s="348" t="s">
        <v>38</v>
      </c>
      <c r="M12" s="348" t="s">
        <v>983</v>
      </c>
      <c r="N12" s="348" t="s">
        <v>975</v>
      </c>
      <c r="O12" s="348" t="s">
        <v>975</v>
      </c>
      <c r="P12" s="348" t="s">
        <v>1056</v>
      </c>
      <c r="Q12" s="348" t="s">
        <v>1057</v>
      </c>
      <c r="R12" s="348"/>
      <c r="S12" s="348" t="s">
        <v>1218</v>
      </c>
      <c r="T12" s="348" t="s">
        <v>1219</v>
      </c>
      <c r="U12" s="348" t="s">
        <v>40</v>
      </c>
      <c r="V12" s="348" t="s">
        <v>983</v>
      </c>
      <c r="W12" s="348" t="s">
        <v>75</v>
      </c>
      <c r="X12" s="348">
        <f t="shared" ref="X12:X75" si="0">IF($W12="Critical Importance",20,IF($W12="Minor Importance",5,10))</f>
        <v>10</v>
      </c>
    </row>
    <row r="13" spans="1:24" ht="96.6" x14ac:dyDescent="0.3">
      <c r="A13" s="348" t="s">
        <v>42</v>
      </c>
      <c r="B13" s="348" t="s">
        <v>36</v>
      </c>
      <c r="C13" s="348">
        <v>1</v>
      </c>
      <c r="D13" s="348">
        <v>0</v>
      </c>
      <c r="E13" s="348">
        <v>0</v>
      </c>
      <c r="F13" s="348">
        <v>0</v>
      </c>
      <c r="G13" s="348">
        <v>0</v>
      </c>
      <c r="H13" s="348">
        <v>0</v>
      </c>
      <c r="I13" s="348">
        <v>0</v>
      </c>
      <c r="J13" s="348">
        <v>1</v>
      </c>
      <c r="K13" s="348"/>
      <c r="L13" s="348" t="s">
        <v>1004</v>
      </c>
      <c r="M13" s="348" t="s">
        <v>983</v>
      </c>
      <c r="N13" s="348" t="s">
        <v>975</v>
      </c>
      <c r="O13" s="348" t="s">
        <v>39</v>
      </c>
      <c r="P13" s="348" t="s">
        <v>39</v>
      </c>
      <c r="Q13" s="348" t="s">
        <v>39</v>
      </c>
      <c r="R13" s="348"/>
      <c r="S13" s="348" t="s">
        <v>1411</v>
      </c>
      <c r="T13" s="348" t="s">
        <v>1220</v>
      </c>
      <c r="U13" s="348" t="s">
        <v>1004</v>
      </c>
      <c r="V13" s="348" t="s">
        <v>983</v>
      </c>
      <c r="W13" s="348"/>
      <c r="X13" s="348"/>
    </row>
    <row r="14" spans="1:24" ht="165.6" x14ac:dyDescent="0.3">
      <c r="A14" s="348" t="s">
        <v>44</v>
      </c>
      <c r="B14" s="348" t="s">
        <v>1157</v>
      </c>
      <c r="C14" s="348">
        <v>1</v>
      </c>
      <c r="D14" s="348">
        <v>0</v>
      </c>
      <c r="E14" s="348">
        <v>0</v>
      </c>
      <c r="F14" s="348">
        <v>0</v>
      </c>
      <c r="G14" s="348">
        <v>0</v>
      </c>
      <c r="H14" s="348">
        <v>0</v>
      </c>
      <c r="I14" s="348">
        <v>0</v>
      </c>
      <c r="J14" s="348">
        <v>1</v>
      </c>
      <c r="K14" s="348"/>
      <c r="L14" s="348" t="s">
        <v>38</v>
      </c>
      <c r="M14" s="348" t="s">
        <v>983</v>
      </c>
      <c r="N14" s="348" t="s">
        <v>975</v>
      </c>
      <c r="O14" s="348" t="s">
        <v>975</v>
      </c>
      <c r="P14" s="348" t="s">
        <v>43</v>
      </c>
      <c r="Q14" s="348" t="s">
        <v>975</v>
      </c>
      <c r="R14" s="348"/>
      <c r="S14" s="348" t="s">
        <v>1221</v>
      </c>
      <c r="T14" s="348" t="s">
        <v>1222</v>
      </c>
      <c r="U14" s="348" t="s">
        <v>40</v>
      </c>
      <c r="V14" s="348" t="s">
        <v>983</v>
      </c>
      <c r="W14" s="348" t="s">
        <v>41</v>
      </c>
      <c r="X14" s="348">
        <f t="shared" si="0"/>
        <v>5</v>
      </c>
    </row>
    <row r="15" spans="1:24" ht="220.8" x14ac:dyDescent="0.3">
      <c r="A15" s="348" t="s">
        <v>45</v>
      </c>
      <c r="B15" s="348" t="s">
        <v>1058</v>
      </c>
      <c r="C15" s="348">
        <v>1</v>
      </c>
      <c r="D15" s="348">
        <v>0</v>
      </c>
      <c r="E15" s="348">
        <v>0</v>
      </c>
      <c r="F15" s="348">
        <v>0</v>
      </c>
      <c r="G15" s="348">
        <v>0</v>
      </c>
      <c r="H15" s="348">
        <v>0</v>
      </c>
      <c r="I15" s="348">
        <v>0</v>
      </c>
      <c r="J15" s="348">
        <v>1</v>
      </c>
      <c r="K15" s="348"/>
      <c r="L15" s="348" t="s">
        <v>38</v>
      </c>
      <c r="M15" s="348" t="s">
        <v>983</v>
      </c>
      <c r="N15" s="348" t="s">
        <v>975</v>
      </c>
      <c r="O15" s="348" t="s">
        <v>975</v>
      </c>
      <c r="P15" s="348" t="s">
        <v>1059</v>
      </c>
      <c r="Q15" s="348" t="s">
        <v>1060</v>
      </c>
      <c r="R15" s="348"/>
      <c r="S15" s="348" t="s">
        <v>1410</v>
      </c>
      <c r="T15" s="348" t="s">
        <v>1387</v>
      </c>
      <c r="U15" s="348" t="s">
        <v>40</v>
      </c>
      <c r="V15" s="348" t="s">
        <v>983</v>
      </c>
      <c r="W15" s="348" t="s">
        <v>41</v>
      </c>
      <c r="X15" s="348">
        <f t="shared" si="0"/>
        <v>5</v>
      </c>
    </row>
    <row r="16" spans="1:24" ht="179.4" x14ac:dyDescent="0.3">
      <c r="A16" s="348" t="s">
        <v>47</v>
      </c>
      <c r="B16" s="348" t="s">
        <v>1061</v>
      </c>
      <c r="C16" s="348">
        <v>1</v>
      </c>
      <c r="D16" s="348">
        <v>0</v>
      </c>
      <c r="E16" s="348">
        <v>0</v>
      </c>
      <c r="F16" s="348">
        <v>0</v>
      </c>
      <c r="G16" s="348">
        <v>0</v>
      </c>
      <c r="H16" s="348">
        <v>0</v>
      </c>
      <c r="I16" s="348">
        <v>0</v>
      </c>
      <c r="J16" s="348">
        <v>0</v>
      </c>
      <c r="K16" s="348"/>
      <c r="L16" s="348" t="s">
        <v>23</v>
      </c>
      <c r="M16" s="348">
        <v>0</v>
      </c>
      <c r="N16" s="348"/>
      <c r="O16" s="348" t="s">
        <v>1158</v>
      </c>
      <c r="P16" s="348" t="s">
        <v>1158</v>
      </c>
      <c r="Q16" s="348" t="s">
        <v>1158</v>
      </c>
      <c r="R16" s="348"/>
      <c r="S16" s="348" t="s">
        <v>1223</v>
      </c>
      <c r="T16" s="348" t="s">
        <v>1224</v>
      </c>
      <c r="U16" s="348" t="s">
        <v>1004</v>
      </c>
      <c r="V16" s="348"/>
      <c r="W16" s="348"/>
      <c r="X16" s="348"/>
    </row>
    <row r="17" spans="1:24" ht="55.2" x14ac:dyDescent="0.3">
      <c r="A17" s="348" t="s">
        <v>48</v>
      </c>
      <c r="B17" s="349" t="s">
        <v>1700</v>
      </c>
      <c r="C17" s="348">
        <v>1</v>
      </c>
      <c r="D17" s="348">
        <v>0</v>
      </c>
      <c r="E17" s="348">
        <v>1</v>
      </c>
      <c r="F17" s="348">
        <v>1</v>
      </c>
      <c r="G17" s="348">
        <v>0</v>
      </c>
      <c r="H17" s="348">
        <v>0</v>
      </c>
      <c r="I17" s="348">
        <v>0</v>
      </c>
      <c r="J17" s="348">
        <v>0</v>
      </c>
      <c r="K17" s="348" t="s">
        <v>22</v>
      </c>
      <c r="L17" s="348" t="s">
        <v>23</v>
      </c>
      <c r="M17" s="348" t="s">
        <v>975</v>
      </c>
      <c r="N17" s="348" t="s">
        <v>975</v>
      </c>
      <c r="O17" s="348" t="s">
        <v>1701</v>
      </c>
      <c r="P17" s="348" t="s">
        <v>49</v>
      </c>
      <c r="Q17" s="348" t="s">
        <v>50</v>
      </c>
      <c r="R17" s="348"/>
      <c r="S17" s="348" t="s">
        <v>975</v>
      </c>
      <c r="T17" s="348" t="s">
        <v>975</v>
      </c>
      <c r="U17" s="348" t="s">
        <v>1004</v>
      </c>
      <c r="V17" s="348" t="s">
        <v>975</v>
      </c>
      <c r="W17" s="348"/>
      <c r="X17" s="348"/>
    </row>
    <row r="18" spans="1:24" ht="55.2" x14ac:dyDescent="0.3">
      <c r="A18" s="348" t="s">
        <v>51</v>
      </c>
      <c r="B18" s="348" t="s">
        <v>1412</v>
      </c>
      <c r="C18" s="348">
        <v>1</v>
      </c>
      <c r="D18" s="348">
        <v>0</v>
      </c>
      <c r="E18" s="348">
        <v>0</v>
      </c>
      <c r="F18" s="348">
        <v>0</v>
      </c>
      <c r="G18" s="348">
        <v>1</v>
      </c>
      <c r="H18" s="348">
        <v>0</v>
      </c>
      <c r="I18" s="348">
        <v>0</v>
      </c>
      <c r="J18" s="348">
        <v>0</v>
      </c>
      <c r="K18" s="348" t="s">
        <v>22</v>
      </c>
      <c r="L18" s="348" t="s">
        <v>23</v>
      </c>
      <c r="M18" s="348" t="s">
        <v>975</v>
      </c>
      <c r="N18" s="348" t="s">
        <v>975</v>
      </c>
      <c r="O18" s="348" t="s">
        <v>1401</v>
      </c>
      <c r="P18" s="348" t="s">
        <v>52</v>
      </c>
      <c r="Q18" s="348" t="s">
        <v>53</v>
      </c>
      <c r="R18" s="348"/>
      <c r="S18" s="348" t="s">
        <v>975</v>
      </c>
      <c r="T18" s="348" t="s">
        <v>975</v>
      </c>
      <c r="U18" s="348" t="s">
        <v>1004</v>
      </c>
      <c r="V18" s="348" t="s">
        <v>975</v>
      </c>
      <c r="W18" s="348"/>
      <c r="X18" s="348"/>
    </row>
    <row r="19" spans="1:24" ht="41.4" x14ac:dyDescent="0.3">
      <c r="A19" s="348" t="s">
        <v>54</v>
      </c>
      <c r="B19" s="348" t="s">
        <v>55</v>
      </c>
      <c r="C19" s="348">
        <v>1</v>
      </c>
      <c r="D19" s="348">
        <v>0</v>
      </c>
      <c r="E19" s="348">
        <v>0</v>
      </c>
      <c r="F19" s="348">
        <v>0</v>
      </c>
      <c r="G19" s="348">
        <v>0</v>
      </c>
      <c r="H19" s="348">
        <v>1</v>
      </c>
      <c r="I19" s="348">
        <v>0</v>
      </c>
      <c r="J19" s="348">
        <v>0</v>
      </c>
      <c r="K19" s="348" t="s">
        <v>22</v>
      </c>
      <c r="L19" s="348" t="s">
        <v>23</v>
      </c>
      <c r="M19" s="348" t="s">
        <v>975</v>
      </c>
      <c r="N19" s="348" t="s">
        <v>975</v>
      </c>
      <c r="O19" s="348" t="s">
        <v>975</v>
      </c>
      <c r="P19" s="348" t="s">
        <v>56</v>
      </c>
      <c r="Q19" s="348" t="s">
        <v>57</v>
      </c>
      <c r="R19" s="348"/>
      <c r="S19" s="348" t="s">
        <v>975</v>
      </c>
      <c r="T19" s="348" t="s">
        <v>975</v>
      </c>
      <c r="U19" s="348" t="s">
        <v>1004</v>
      </c>
      <c r="V19" s="348" t="s">
        <v>975</v>
      </c>
      <c r="W19" s="348"/>
      <c r="X19" s="348"/>
    </row>
    <row r="20" spans="1:24" ht="41.4" x14ac:dyDescent="0.3">
      <c r="A20" s="348" t="s">
        <v>58</v>
      </c>
      <c r="B20" s="348" t="s">
        <v>1159</v>
      </c>
      <c r="C20" s="348">
        <v>1</v>
      </c>
      <c r="D20" s="348">
        <v>0</v>
      </c>
      <c r="E20" s="348">
        <v>0</v>
      </c>
      <c r="F20" s="348">
        <v>0</v>
      </c>
      <c r="G20" s="348">
        <v>0</v>
      </c>
      <c r="H20" s="348">
        <v>0</v>
      </c>
      <c r="I20" s="348">
        <v>1</v>
      </c>
      <c r="J20" s="348">
        <v>1</v>
      </c>
      <c r="K20" s="348" t="s">
        <v>22</v>
      </c>
      <c r="L20" s="348" t="s">
        <v>23</v>
      </c>
      <c r="M20" s="348" t="s">
        <v>975</v>
      </c>
      <c r="N20" s="348" t="s">
        <v>975</v>
      </c>
      <c r="O20" s="348" t="s">
        <v>975</v>
      </c>
      <c r="P20" s="348" t="s">
        <v>59</v>
      </c>
      <c r="Q20" s="348" t="s">
        <v>60</v>
      </c>
      <c r="R20" s="348"/>
      <c r="S20" s="348" t="s">
        <v>975</v>
      </c>
      <c r="T20" s="348" t="s">
        <v>975</v>
      </c>
      <c r="U20" s="348" t="s">
        <v>1004</v>
      </c>
      <c r="V20" s="348" t="s">
        <v>975</v>
      </c>
      <c r="W20" s="348"/>
      <c r="X20" s="348"/>
    </row>
    <row r="21" spans="1:24" ht="55.2" x14ac:dyDescent="0.3">
      <c r="A21" s="348" t="s">
        <v>61</v>
      </c>
      <c r="B21" s="348" t="s">
        <v>1160</v>
      </c>
      <c r="C21" s="348">
        <v>1</v>
      </c>
      <c r="D21" s="348">
        <v>0</v>
      </c>
      <c r="E21" s="348">
        <v>0</v>
      </c>
      <c r="F21" s="348">
        <v>0</v>
      </c>
      <c r="G21" s="348">
        <v>0</v>
      </c>
      <c r="H21" s="348">
        <v>1</v>
      </c>
      <c r="I21" s="348">
        <v>0</v>
      </c>
      <c r="J21" s="348">
        <v>1</v>
      </c>
      <c r="K21" s="348" t="s">
        <v>22</v>
      </c>
      <c r="L21" s="348" t="s">
        <v>23</v>
      </c>
      <c r="M21" s="348" t="s">
        <v>983</v>
      </c>
      <c r="N21" s="348" t="s">
        <v>975</v>
      </c>
      <c r="O21" s="348" t="s">
        <v>1161</v>
      </c>
      <c r="P21" s="348" t="s">
        <v>62</v>
      </c>
      <c r="Q21" s="348" t="s">
        <v>63</v>
      </c>
      <c r="R21" s="348"/>
      <c r="S21" s="348"/>
      <c r="T21" s="348"/>
      <c r="U21" s="348" t="s">
        <v>1004</v>
      </c>
      <c r="V21" s="348"/>
      <c r="W21" s="348"/>
      <c r="X21" s="348"/>
    </row>
    <row r="22" spans="1:24" ht="55.2" x14ac:dyDescent="0.3">
      <c r="A22" s="348" t="s">
        <v>64</v>
      </c>
      <c r="B22" s="348" t="s">
        <v>1413</v>
      </c>
      <c r="C22" s="348">
        <v>1</v>
      </c>
      <c r="D22" s="348">
        <v>0</v>
      </c>
      <c r="E22" s="348">
        <v>0</v>
      </c>
      <c r="F22" s="348">
        <v>0</v>
      </c>
      <c r="G22" s="348">
        <v>0</v>
      </c>
      <c r="H22" s="348">
        <v>1</v>
      </c>
      <c r="I22" s="348">
        <v>0</v>
      </c>
      <c r="J22" s="348">
        <v>1</v>
      </c>
      <c r="K22" s="348" t="s">
        <v>22</v>
      </c>
      <c r="L22" s="348" t="s">
        <v>23</v>
      </c>
      <c r="M22" s="348" t="s">
        <v>983</v>
      </c>
      <c r="N22" s="348" t="s">
        <v>975</v>
      </c>
      <c r="O22" s="348" t="s">
        <v>1162</v>
      </c>
      <c r="P22" s="348" t="s">
        <v>65</v>
      </c>
      <c r="Q22" s="348" t="s">
        <v>66</v>
      </c>
      <c r="R22" s="348"/>
      <c r="S22" s="348"/>
      <c r="T22" s="348"/>
      <c r="U22" s="348" t="s">
        <v>1004</v>
      </c>
      <c r="V22" s="348"/>
      <c r="W22" s="348"/>
      <c r="X22" s="348"/>
    </row>
    <row r="23" spans="1:24" ht="93.75" customHeight="1" x14ac:dyDescent="0.3">
      <c r="A23" s="348" t="s">
        <v>67</v>
      </c>
      <c r="B23" s="348" t="s">
        <v>1163</v>
      </c>
      <c r="C23" s="348">
        <v>1</v>
      </c>
      <c r="D23" s="348">
        <v>0</v>
      </c>
      <c r="E23" s="348">
        <v>0</v>
      </c>
      <c r="F23" s="348">
        <v>0</v>
      </c>
      <c r="G23" s="348">
        <v>0</v>
      </c>
      <c r="H23" s="348">
        <v>1</v>
      </c>
      <c r="I23" s="348">
        <v>0</v>
      </c>
      <c r="J23" s="348">
        <v>0</v>
      </c>
      <c r="K23" s="348" t="s">
        <v>22</v>
      </c>
      <c r="L23" s="348" t="s">
        <v>23</v>
      </c>
      <c r="M23" s="348" t="s">
        <v>975</v>
      </c>
      <c r="N23" s="348" t="s">
        <v>975</v>
      </c>
      <c r="O23" s="348" t="s">
        <v>975</v>
      </c>
      <c r="P23" s="348" t="s">
        <v>68</v>
      </c>
      <c r="Q23" s="348" t="s">
        <v>69</v>
      </c>
      <c r="R23" s="348"/>
      <c r="S23" s="348" t="s">
        <v>975</v>
      </c>
      <c r="T23" s="348" t="s">
        <v>975</v>
      </c>
      <c r="U23" s="348" t="s">
        <v>1004</v>
      </c>
      <c r="V23" s="348" t="s">
        <v>975</v>
      </c>
      <c r="W23" s="348"/>
      <c r="X23" s="348"/>
    </row>
    <row r="24" spans="1:24" ht="81.75" customHeight="1" x14ac:dyDescent="0.3">
      <c r="A24" s="348" t="s">
        <v>968</v>
      </c>
      <c r="B24" s="348" t="s">
        <v>1466</v>
      </c>
      <c r="C24" s="348">
        <v>1</v>
      </c>
      <c r="D24" s="348">
        <v>0</v>
      </c>
      <c r="E24" s="348">
        <v>0</v>
      </c>
      <c r="F24" s="348">
        <v>0</v>
      </c>
      <c r="G24" s="348">
        <v>0</v>
      </c>
      <c r="H24" s="348">
        <v>0</v>
      </c>
      <c r="I24" s="348">
        <v>0</v>
      </c>
      <c r="J24" s="348">
        <v>1</v>
      </c>
      <c r="K24" s="348" t="s">
        <v>22</v>
      </c>
      <c r="L24" s="348" t="s">
        <v>23</v>
      </c>
      <c r="M24" s="348"/>
      <c r="N24" s="348"/>
      <c r="O24" s="348" t="s">
        <v>969</v>
      </c>
      <c r="P24" s="225" t="s">
        <v>970</v>
      </c>
      <c r="Q24" s="225" t="s">
        <v>971</v>
      </c>
      <c r="R24" s="225"/>
      <c r="S24" s="348"/>
      <c r="T24" s="348"/>
      <c r="U24" s="348" t="s">
        <v>1004</v>
      </c>
      <c r="V24" s="348"/>
      <c r="W24" s="348"/>
      <c r="X24" s="348"/>
    </row>
    <row r="25" spans="1:24" ht="151.80000000000001" x14ac:dyDescent="0.3">
      <c r="A25" s="360" t="s">
        <v>70</v>
      </c>
      <c r="B25" s="360" t="s">
        <v>1414</v>
      </c>
      <c r="C25" s="348">
        <v>0</v>
      </c>
      <c r="D25" s="348">
        <v>1</v>
      </c>
      <c r="E25" s="348">
        <v>0</v>
      </c>
      <c r="F25" s="348">
        <v>0</v>
      </c>
      <c r="G25" s="348">
        <v>0</v>
      </c>
      <c r="H25" s="348">
        <v>0</v>
      </c>
      <c r="I25" s="348">
        <v>0</v>
      </c>
      <c r="J25" s="348">
        <v>1</v>
      </c>
      <c r="K25" s="348"/>
      <c r="L25" s="348" t="s">
        <v>131</v>
      </c>
      <c r="M25" s="348" t="s">
        <v>975</v>
      </c>
      <c r="N25" s="348" t="s">
        <v>975</v>
      </c>
      <c r="O25" s="348" t="s">
        <v>975</v>
      </c>
      <c r="P25" s="348" t="s">
        <v>975</v>
      </c>
      <c r="Q25" s="348" t="s">
        <v>975</v>
      </c>
      <c r="R25" s="348"/>
      <c r="S25" s="348" t="s">
        <v>1869</v>
      </c>
      <c r="T25" s="348" t="s">
        <v>975</v>
      </c>
      <c r="U25" s="348" t="s">
        <v>40</v>
      </c>
      <c r="V25" s="348" t="s">
        <v>975</v>
      </c>
      <c r="W25" s="348" t="s">
        <v>46</v>
      </c>
      <c r="X25" s="348">
        <f t="shared" si="0"/>
        <v>20</v>
      </c>
    </row>
    <row r="26" spans="1:24" ht="138" x14ac:dyDescent="0.3">
      <c r="A26" s="360" t="s">
        <v>76</v>
      </c>
      <c r="B26" s="360" t="s">
        <v>1062</v>
      </c>
      <c r="C26" s="348">
        <v>0</v>
      </c>
      <c r="D26" s="348">
        <v>1</v>
      </c>
      <c r="E26" s="348">
        <v>0</v>
      </c>
      <c r="F26" s="348">
        <v>0</v>
      </c>
      <c r="G26" s="348">
        <v>0</v>
      </c>
      <c r="H26" s="348">
        <v>0</v>
      </c>
      <c r="I26" s="348">
        <v>0</v>
      </c>
      <c r="J26" s="348">
        <v>1</v>
      </c>
      <c r="K26" s="348"/>
      <c r="L26" s="348" t="s">
        <v>131</v>
      </c>
      <c r="M26" s="348" t="s">
        <v>975</v>
      </c>
      <c r="N26" s="348" t="s">
        <v>975</v>
      </c>
      <c r="O26" s="348" t="s">
        <v>975</v>
      </c>
      <c r="P26" s="348" t="s">
        <v>975</v>
      </c>
      <c r="Q26" s="348" t="s">
        <v>975</v>
      </c>
      <c r="R26" s="348"/>
      <c r="S26" s="348" t="s">
        <v>1870</v>
      </c>
      <c r="T26" s="348" t="s">
        <v>975</v>
      </c>
      <c r="U26" s="348" t="s">
        <v>40</v>
      </c>
      <c r="V26" s="348" t="s">
        <v>975</v>
      </c>
      <c r="W26" s="348" t="s">
        <v>46</v>
      </c>
      <c r="X26" s="348">
        <f t="shared" si="0"/>
        <v>20</v>
      </c>
    </row>
    <row r="27" spans="1:24" ht="110.4" x14ac:dyDescent="0.3">
      <c r="A27" s="348" t="s">
        <v>77</v>
      </c>
      <c r="B27" s="348" t="s">
        <v>71</v>
      </c>
      <c r="C27" s="348">
        <v>0</v>
      </c>
      <c r="D27" s="348">
        <v>1</v>
      </c>
      <c r="E27" s="348">
        <v>0</v>
      </c>
      <c r="F27" s="348">
        <v>0</v>
      </c>
      <c r="G27" s="348">
        <v>0</v>
      </c>
      <c r="H27" s="348">
        <v>0</v>
      </c>
      <c r="I27" s="348">
        <v>0</v>
      </c>
      <c r="J27" s="348">
        <v>1</v>
      </c>
      <c r="K27" s="348"/>
      <c r="L27" s="348" t="s">
        <v>131</v>
      </c>
      <c r="M27" s="348" t="s">
        <v>72</v>
      </c>
      <c r="N27" s="348" t="s">
        <v>975</v>
      </c>
      <c r="O27" s="348" t="s">
        <v>975</v>
      </c>
      <c r="P27" s="348" t="s">
        <v>73</v>
      </c>
      <c r="Q27" s="348" t="s">
        <v>1063</v>
      </c>
      <c r="R27" s="348"/>
      <c r="S27" s="348" t="s">
        <v>1415</v>
      </c>
      <c r="T27" s="348" t="s">
        <v>74</v>
      </c>
      <c r="U27" s="348" t="s">
        <v>40</v>
      </c>
      <c r="V27" s="348" t="s">
        <v>983</v>
      </c>
      <c r="W27" s="348" t="s">
        <v>75</v>
      </c>
      <c r="X27" s="348">
        <f t="shared" si="0"/>
        <v>10</v>
      </c>
    </row>
    <row r="28" spans="1:24" ht="220.8" x14ac:dyDescent="0.3">
      <c r="A28" s="348" t="s">
        <v>80</v>
      </c>
      <c r="B28" s="348" t="s">
        <v>1064</v>
      </c>
      <c r="C28" s="348">
        <v>0</v>
      </c>
      <c r="D28" s="348">
        <v>1</v>
      </c>
      <c r="E28" s="348">
        <v>0</v>
      </c>
      <c r="F28" s="348">
        <v>0</v>
      </c>
      <c r="G28" s="348">
        <v>0</v>
      </c>
      <c r="H28" s="348">
        <v>0</v>
      </c>
      <c r="I28" s="348">
        <v>0</v>
      </c>
      <c r="J28" s="348">
        <v>1</v>
      </c>
      <c r="K28" s="348"/>
      <c r="L28" s="348" t="s">
        <v>131</v>
      </c>
      <c r="M28" s="348" t="s">
        <v>72</v>
      </c>
      <c r="N28" s="348" t="s">
        <v>975</v>
      </c>
      <c r="O28" s="348" t="s">
        <v>975</v>
      </c>
      <c r="P28" s="348" t="s">
        <v>78</v>
      </c>
      <c r="Q28" s="348" t="s">
        <v>79</v>
      </c>
      <c r="R28" s="348"/>
      <c r="S28" s="348" t="s">
        <v>1225</v>
      </c>
      <c r="T28" s="348" t="s">
        <v>1226</v>
      </c>
      <c r="U28" s="348" t="s">
        <v>40</v>
      </c>
      <c r="V28" s="348" t="s">
        <v>983</v>
      </c>
      <c r="W28" s="348" t="s">
        <v>75</v>
      </c>
      <c r="X28" s="348">
        <f t="shared" si="0"/>
        <v>10</v>
      </c>
    </row>
    <row r="29" spans="1:24" ht="179.4" x14ac:dyDescent="0.3">
      <c r="A29" s="348" t="s">
        <v>84</v>
      </c>
      <c r="B29" s="348" t="s">
        <v>81</v>
      </c>
      <c r="C29" s="348">
        <v>0</v>
      </c>
      <c r="D29" s="348">
        <v>1</v>
      </c>
      <c r="E29" s="348">
        <v>0</v>
      </c>
      <c r="F29" s="348">
        <v>0</v>
      </c>
      <c r="G29" s="348">
        <v>0</v>
      </c>
      <c r="H29" s="348">
        <v>0</v>
      </c>
      <c r="I29" s="348">
        <v>0</v>
      </c>
      <c r="J29" s="348">
        <v>1</v>
      </c>
      <c r="K29" s="348"/>
      <c r="L29" s="348" t="s">
        <v>131</v>
      </c>
      <c r="M29" s="348" t="s">
        <v>72</v>
      </c>
      <c r="N29" s="348" t="s">
        <v>975</v>
      </c>
      <c r="O29" s="348" t="s">
        <v>975</v>
      </c>
      <c r="P29" s="348" t="s">
        <v>82</v>
      </c>
      <c r="Q29" s="348" t="s">
        <v>83</v>
      </c>
      <c r="R29" s="348"/>
      <c r="S29" s="348" t="s">
        <v>1227</v>
      </c>
      <c r="T29" s="348" t="s">
        <v>1228</v>
      </c>
      <c r="U29" s="348" t="s">
        <v>40</v>
      </c>
      <c r="V29" s="348" t="s">
        <v>983</v>
      </c>
      <c r="W29" s="348" t="s">
        <v>75</v>
      </c>
      <c r="X29" s="348">
        <f t="shared" si="0"/>
        <v>10</v>
      </c>
    </row>
    <row r="30" spans="1:24" ht="179.4" x14ac:dyDescent="0.3">
      <c r="A30" s="348" t="s">
        <v>88</v>
      </c>
      <c r="B30" s="348" t="s">
        <v>85</v>
      </c>
      <c r="C30" s="348">
        <v>0</v>
      </c>
      <c r="D30" s="348">
        <v>1</v>
      </c>
      <c r="E30" s="348">
        <v>0</v>
      </c>
      <c r="F30" s="348">
        <v>0</v>
      </c>
      <c r="G30" s="348">
        <v>0</v>
      </c>
      <c r="H30" s="348">
        <v>0</v>
      </c>
      <c r="I30" s="348">
        <v>0</v>
      </c>
      <c r="J30" s="348">
        <v>1</v>
      </c>
      <c r="K30" s="348"/>
      <c r="L30" s="348" t="s">
        <v>131</v>
      </c>
      <c r="M30" s="348" t="s">
        <v>72</v>
      </c>
      <c r="N30" s="348" t="s">
        <v>975</v>
      </c>
      <c r="O30" s="348" t="s">
        <v>975</v>
      </c>
      <c r="P30" s="348" t="s">
        <v>86</v>
      </c>
      <c r="Q30" s="348" t="s">
        <v>87</v>
      </c>
      <c r="R30" s="348"/>
      <c r="S30" s="348" t="s">
        <v>1229</v>
      </c>
      <c r="T30" s="348" t="s">
        <v>1228</v>
      </c>
      <c r="U30" s="348" t="s">
        <v>40</v>
      </c>
      <c r="V30" s="348" t="s">
        <v>983</v>
      </c>
      <c r="W30" s="348" t="s">
        <v>75</v>
      </c>
      <c r="X30" s="348">
        <f t="shared" si="0"/>
        <v>10</v>
      </c>
    </row>
    <row r="31" spans="1:24" ht="220.8" x14ac:dyDescent="0.3">
      <c r="A31" s="348" t="s">
        <v>92</v>
      </c>
      <c r="B31" s="348" t="s">
        <v>89</v>
      </c>
      <c r="C31" s="348">
        <v>0</v>
      </c>
      <c r="D31" s="348">
        <v>1</v>
      </c>
      <c r="E31" s="348">
        <v>0</v>
      </c>
      <c r="F31" s="348">
        <v>0</v>
      </c>
      <c r="G31" s="348">
        <v>0</v>
      </c>
      <c r="H31" s="348">
        <v>0</v>
      </c>
      <c r="I31" s="348">
        <v>0</v>
      </c>
      <c r="J31" s="348">
        <v>1</v>
      </c>
      <c r="K31" s="348"/>
      <c r="L31" s="348" t="s">
        <v>131</v>
      </c>
      <c r="M31" s="348" t="s">
        <v>72</v>
      </c>
      <c r="N31" s="348" t="s">
        <v>975</v>
      </c>
      <c r="O31" s="348" t="s">
        <v>975</v>
      </c>
      <c r="P31" s="348" t="s">
        <v>90</v>
      </c>
      <c r="Q31" s="348" t="s">
        <v>91</v>
      </c>
      <c r="R31" s="348"/>
      <c r="S31" s="348" t="s">
        <v>1230</v>
      </c>
      <c r="T31" s="348" t="s">
        <v>1231</v>
      </c>
      <c r="U31" s="348" t="s">
        <v>40</v>
      </c>
      <c r="V31" s="348" t="s">
        <v>983</v>
      </c>
      <c r="W31" s="348" t="s">
        <v>75</v>
      </c>
      <c r="X31" s="348">
        <f t="shared" si="0"/>
        <v>10</v>
      </c>
    </row>
    <row r="32" spans="1:24" ht="55.2" x14ac:dyDescent="0.3">
      <c r="A32" s="225" t="s">
        <v>93</v>
      </c>
      <c r="B32" s="348" t="s">
        <v>1388</v>
      </c>
      <c r="C32" s="348">
        <v>0</v>
      </c>
      <c r="D32" s="348">
        <v>0</v>
      </c>
      <c r="E32" s="348">
        <v>0</v>
      </c>
      <c r="F32" s="348">
        <v>0</v>
      </c>
      <c r="G32" s="348">
        <v>1</v>
      </c>
      <c r="H32" s="348">
        <v>0</v>
      </c>
      <c r="I32" s="348">
        <v>0</v>
      </c>
      <c r="J32" s="348">
        <v>0</v>
      </c>
      <c r="K32" s="348" t="s">
        <v>22</v>
      </c>
      <c r="L32" s="348" t="s">
        <v>23</v>
      </c>
      <c r="M32" s="348" t="s">
        <v>983</v>
      </c>
      <c r="N32" s="348" t="s">
        <v>1232</v>
      </c>
      <c r="O32" s="348" t="s">
        <v>975</v>
      </c>
      <c r="P32" s="348" t="s">
        <v>975</v>
      </c>
      <c r="Q32" s="348" t="s">
        <v>975</v>
      </c>
      <c r="R32" s="348"/>
      <c r="S32" s="348" t="s">
        <v>975</v>
      </c>
      <c r="T32" s="348" t="s">
        <v>975</v>
      </c>
      <c r="U32" s="348" t="s">
        <v>1004</v>
      </c>
      <c r="V32" s="348" t="s">
        <v>975</v>
      </c>
      <c r="W32" s="348"/>
      <c r="X32" s="348"/>
    </row>
    <row r="33" spans="1:24" ht="55.2" x14ac:dyDescent="0.3">
      <c r="A33" s="225" t="s">
        <v>94</v>
      </c>
      <c r="B33" s="348" t="s">
        <v>1389</v>
      </c>
      <c r="C33" s="348">
        <v>0</v>
      </c>
      <c r="D33" s="348">
        <v>0</v>
      </c>
      <c r="E33" s="348">
        <v>0</v>
      </c>
      <c r="F33" s="348">
        <v>0</v>
      </c>
      <c r="G33" s="348">
        <v>1</v>
      </c>
      <c r="H33" s="348">
        <v>0</v>
      </c>
      <c r="I33" s="348">
        <v>0</v>
      </c>
      <c r="J33" s="348">
        <v>0</v>
      </c>
      <c r="K33" s="348" t="s">
        <v>22</v>
      </c>
      <c r="L33" s="348" t="s">
        <v>23</v>
      </c>
      <c r="M33" s="348" t="s">
        <v>983</v>
      </c>
      <c r="N33" s="348" t="s">
        <v>1232</v>
      </c>
      <c r="O33" s="348" t="s">
        <v>975</v>
      </c>
      <c r="P33" s="348" t="s">
        <v>975</v>
      </c>
      <c r="Q33" s="348" t="s">
        <v>975</v>
      </c>
      <c r="R33" s="348"/>
      <c r="S33" s="348" t="s">
        <v>975</v>
      </c>
      <c r="T33" s="348" t="s">
        <v>975</v>
      </c>
      <c r="U33" s="348" t="s">
        <v>1004</v>
      </c>
      <c r="V33" s="348" t="s">
        <v>975</v>
      </c>
      <c r="W33" s="348"/>
      <c r="X33" s="348"/>
    </row>
    <row r="34" spans="1:24" ht="55.2" x14ac:dyDescent="0.3">
      <c r="A34" s="225" t="s">
        <v>95</v>
      </c>
      <c r="B34" s="348" t="s">
        <v>1390</v>
      </c>
      <c r="C34" s="348">
        <v>0</v>
      </c>
      <c r="D34" s="348">
        <v>0</v>
      </c>
      <c r="E34" s="348">
        <v>0</v>
      </c>
      <c r="F34" s="348">
        <v>0</v>
      </c>
      <c r="G34" s="348">
        <v>1</v>
      </c>
      <c r="H34" s="348">
        <v>0</v>
      </c>
      <c r="I34" s="348">
        <v>0</v>
      </c>
      <c r="J34" s="348">
        <v>0</v>
      </c>
      <c r="K34" s="348" t="s">
        <v>22</v>
      </c>
      <c r="L34" s="348" t="s">
        <v>23</v>
      </c>
      <c r="M34" s="348" t="s">
        <v>983</v>
      </c>
      <c r="N34" s="348" t="s">
        <v>1232</v>
      </c>
      <c r="O34" s="348" t="s">
        <v>975</v>
      </c>
      <c r="P34" s="348" t="s">
        <v>975</v>
      </c>
      <c r="Q34" s="348" t="s">
        <v>975</v>
      </c>
      <c r="R34" s="348"/>
      <c r="S34" s="348" t="s">
        <v>975</v>
      </c>
      <c r="T34" s="348" t="s">
        <v>975</v>
      </c>
      <c r="U34" s="348" t="s">
        <v>1004</v>
      </c>
      <c r="V34" s="348" t="s">
        <v>975</v>
      </c>
      <c r="W34" s="348"/>
      <c r="X34" s="348"/>
    </row>
    <row r="35" spans="1:24" ht="55.2" x14ac:dyDescent="0.3">
      <c r="A35" s="225" t="s">
        <v>96</v>
      </c>
      <c r="B35" s="348" t="s">
        <v>1391</v>
      </c>
      <c r="C35" s="348">
        <v>0</v>
      </c>
      <c r="D35" s="348">
        <v>0</v>
      </c>
      <c r="E35" s="348">
        <v>0</v>
      </c>
      <c r="F35" s="348">
        <v>0</v>
      </c>
      <c r="G35" s="348">
        <v>1</v>
      </c>
      <c r="H35" s="348">
        <v>0</v>
      </c>
      <c r="I35" s="348">
        <v>0</v>
      </c>
      <c r="J35" s="348">
        <v>0</v>
      </c>
      <c r="K35" s="348" t="s">
        <v>22</v>
      </c>
      <c r="L35" s="348" t="s">
        <v>23</v>
      </c>
      <c r="M35" s="348" t="s">
        <v>983</v>
      </c>
      <c r="N35" s="348" t="s">
        <v>1232</v>
      </c>
      <c r="O35" s="348" t="s">
        <v>975</v>
      </c>
      <c r="P35" s="348" t="s">
        <v>975</v>
      </c>
      <c r="Q35" s="348" t="s">
        <v>975</v>
      </c>
      <c r="R35" s="348"/>
      <c r="S35" s="348" t="s">
        <v>975</v>
      </c>
      <c r="T35" s="348" t="s">
        <v>975</v>
      </c>
      <c r="U35" s="348" t="s">
        <v>1004</v>
      </c>
      <c r="V35" s="348" t="s">
        <v>975</v>
      </c>
      <c r="W35" s="348"/>
      <c r="X35" s="348"/>
    </row>
    <row r="36" spans="1:24" ht="55.2" x14ac:dyDescent="0.3">
      <c r="A36" s="225" t="s">
        <v>97</v>
      </c>
      <c r="B36" s="348" t="s">
        <v>102</v>
      </c>
      <c r="C36" s="348">
        <v>0</v>
      </c>
      <c r="D36" s="348">
        <v>0</v>
      </c>
      <c r="E36" s="348">
        <v>0</v>
      </c>
      <c r="F36" s="348">
        <v>0</v>
      </c>
      <c r="G36" s="348">
        <v>1</v>
      </c>
      <c r="H36" s="348">
        <v>0</v>
      </c>
      <c r="I36" s="348">
        <v>0</v>
      </c>
      <c r="J36" s="348">
        <v>0</v>
      </c>
      <c r="K36" s="348"/>
      <c r="L36" s="348" t="s">
        <v>23</v>
      </c>
      <c r="M36" s="348" t="s">
        <v>983</v>
      </c>
      <c r="N36" s="348" t="s">
        <v>1232</v>
      </c>
      <c r="O36" s="348" t="s">
        <v>1028</v>
      </c>
      <c r="P36" s="348" t="s">
        <v>1028</v>
      </c>
      <c r="Q36" s="348" t="s">
        <v>1028</v>
      </c>
      <c r="R36" s="348"/>
      <c r="S36" s="348" t="s">
        <v>975</v>
      </c>
      <c r="T36" s="348" t="s">
        <v>975</v>
      </c>
      <c r="U36" s="348" t="s">
        <v>1004</v>
      </c>
      <c r="V36" s="348" t="s">
        <v>975</v>
      </c>
      <c r="W36" s="348"/>
      <c r="X36" s="348"/>
    </row>
    <row r="37" spans="1:24" ht="276" x14ac:dyDescent="0.3">
      <c r="A37" s="361" t="s">
        <v>101</v>
      </c>
      <c r="B37" s="360" t="s">
        <v>1416</v>
      </c>
      <c r="C37" s="348">
        <v>0</v>
      </c>
      <c r="D37" s="348">
        <v>0</v>
      </c>
      <c r="E37" s="348">
        <v>0</v>
      </c>
      <c r="F37" s="348">
        <v>0</v>
      </c>
      <c r="G37" s="348">
        <v>1</v>
      </c>
      <c r="H37" s="348">
        <v>0</v>
      </c>
      <c r="I37" s="348">
        <v>0</v>
      </c>
      <c r="J37" s="348">
        <v>1</v>
      </c>
      <c r="K37" s="348"/>
      <c r="L37" s="348" t="s">
        <v>98</v>
      </c>
      <c r="M37" s="348" t="s">
        <v>72</v>
      </c>
      <c r="N37" s="348" t="s">
        <v>1232</v>
      </c>
      <c r="O37" s="348" t="s">
        <v>1417</v>
      </c>
      <c r="P37" s="348" t="s">
        <v>99</v>
      </c>
      <c r="Q37" s="348" t="s">
        <v>100</v>
      </c>
      <c r="R37" s="348"/>
      <c r="S37" s="348" t="s">
        <v>1233</v>
      </c>
      <c r="T37" s="348" t="s">
        <v>1418</v>
      </c>
      <c r="U37" s="348" t="s">
        <v>40</v>
      </c>
      <c r="V37" s="348" t="s">
        <v>983</v>
      </c>
      <c r="W37" s="348" t="s">
        <v>46</v>
      </c>
      <c r="X37" s="348">
        <f t="shared" si="0"/>
        <v>20</v>
      </c>
    </row>
    <row r="38" spans="1:24" ht="80.25" customHeight="1" x14ac:dyDescent="0.3">
      <c r="A38" s="361" t="s">
        <v>103</v>
      </c>
      <c r="B38" s="360" t="s">
        <v>1164</v>
      </c>
      <c r="C38" s="348">
        <v>0</v>
      </c>
      <c r="D38" s="348">
        <v>0</v>
      </c>
      <c r="E38" s="348">
        <v>0</v>
      </c>
      <c r="F38" s="348">
        <v>0</v>
      </c>
      <c r="G38" s="348">
        <v>1</v>
      </c>
      <c r="H38" s="348">
        <v>0</v>
      </c>
      <c r="I38" s="348">
        <v>0</v>
      </c>
      <c r="J38" s="348">
        <v>0</v>
      </c>
      <c r="K38" s="348"/>
      <c r="L38" s="348" t="s">
        <v>98</v>
      </c>
      <c r="M38" s="348" t="s">
        <v>975</v>
      </c>
      <c r="N38" s="348" t="s">
        <v>1232</v>
      </c>
      <c r="O38" s="348" t="s">
        <v>975</v>
      </c>
      <c r="P38" s="348" t="s">
        <v>975</v>
      </c>
      <c r="Q38" s="348" t="s">
        <v>975</v>
      </c>
      <c r="R38" s="348"/>
      <c r="S38" s="348" t="s">
        <v>1498</v>
      </c>
      <c r="T38" s="348" t="s">
        <v>975</v>
      </c>
      <c r="U38" s="348" t="s">
        <v>40</v>
      </c>
      <c r="V38" s="348" t="s">
        <v>975</v>
      </c>
      <c r="W38" s="348" t="s">
        <v>46</v>
      </c>
      <c r="X38" s="348">
        <f t="shared" si="0"/>
        <v>20</v>
      </c>
    </row>
    <row r="39" spans="1:24" ht="207" x14ac:dyDescent="0.3">
      <c r="A39" s="361" t="s">
        <v>106</v>
      </c>
      <c r="B39" s="360" t="s">
        <v>1165</v>
      </c>
      <c r="C39" s="348">
        <v>0</v>
      </c>
      <c r="D39" s="348">
        <v>0</v>
      </c>
      <c r="E39" s="348">
        <v>0</v>
      </c>
      <c r="F39" s="348">
        <v>0</v>
      </c>
      <c r="G39" s="348">
        <v>1</v>
      </c>
      <c r="H39" s="348">
        <v>0</v>
      </c>
      <c r="I39" s="348">
        <v>0</v>
      </c>
      <c r="J39" s="348">
        <v>0</v>
      </c>
      <c r="K39" s="348"/>
      <c r="L39" s="348" t="s">
        <v>98</v>
      </c>
      <c r="M39" s="348" t="s">
        <v>975</v>
      </c>
      <c r="N39" s="348" t="s">
        <v>1232</v>
      </c>
      <c r="O39" s="348" t="s">
        <v>1166</v>
      </c>
      <c r="P39" s="348" t="s">
        <v>1166</v>
      </c>
      <c r="Q39" s="348" t="s">
        <v>1166</v>
      </c>
      <c r="R39" s="348"/>
      <c r="S39" s="348" t="s">
        <v>1498</v>
      </c>
      <c r="T39" s="348" t="s">
        <v>975</v>
      </c>
      <c r="U39" s="348" t="s">
        <v>40</v>
      </c>
      <c r="V39" s="348" t="s">
        <v>975</v>
      </c>
      <c r="W39" s="348" t="s">
        <v>46</v>
      </c>
      <c r="X39" s="348">
        <f t="shared" si="0"/>
        <v>20</v>
      </c>
    </row>
    <row r="40" spans="1:24" ht="110.4" x14ac:dyDescent="0.3">
      <c r="A40" s="361" t="s">
        <v>108</v>
      </c>
      <c r="B40" s="360" t="s">
        <v>984</v>
      </c>
      <c r="C40" s="348">
        <v>0</v>
      </c>
      <c r="D40" s="348">
        <v>0</v>
      </c>
      <c r="E40" s="348">
        <v>0</v>
      </c>
      <c r="F40" s="348">
        <v>0</v>
      </c>
      <c r="G40" s="348">
        <v>1</v>
      </c>
      <c r="H40" s="348">
        <v>0</v>
      </c>
      <c r="I40" s="348">
        <v>0</v>
      </c>
      <c r="J40" s="348">
        <v>0</v>
      </c>
      <c r="K40" s="348"/>
      <c r="L40" s="348" t="s">
        <v>98</v>
      </c>
      <c r="M40" s="348" t="s">
        <v>983</v>
      </c>
      <c r="N40" s="348" t="s">
        <v>1232</v>
      </c>
      <c r="O40" s="348" t="s">
        <v>1065</v>
      </c>
      <c r="P40" s="348" t="s">
        <v>121</v>
      </c>
      <c r="Q40" s="348" t="s">
        <v>122</v>
      </c>
      <c r="R40" s="348"/>
      <c r="S40" s="348" t="s">
        <v>975</v>
      </c>
      <c r="T40" s="348" t="s">
        <v>1066</v>
      </c>
      <c r="U40" s="348" t="s">
        <v>40</v>
      </c>
      <c r="V40" s="348" t="s">
        <v>983</v>
      </c>
      <c r="W40" s="348" t="s">
        <v>46</v>
      </c>
      <c r="X40" s="348">
        <f t="shared" si="0"/>
        <v>20</v>
      </c>
    </row>
    <row r="41" spans="1:24" ht="207" x14ac:dyDescent="0.3">
      <c r="A41" s="225" t="s">
        <v>111</v>
      </c>
      <c r="B41" s="348" t="s">
        <v>1167</v>
      </c>
      <c r="C41" s="348">
        <v>0</v>
      </c>
      <c r="D41" s="348">
        <v>0</v>
      </c>
      <c r="E41" s="348">
        <v>0</v>
      </c>
      <c r="F41" s="348">
        <v>0</v>
      </c>
      <c r="G41" s="348">
        <v>1</v>
      </c>
      <c r="H41" s="348">
        <v>0</v>
      </c>
      <c r="I41" s="348">
        <v>0</v>
      </c>
      <c r="J41" s="348">
        <v>1</v>
      </c>
      <c r="K41" s="348"/>
      <c r="L41" s="348" t="s">
        <v>98</v>
      </c>
      <c r="M41" s="348" t="s">
        <v>72</v>
      </c>
      <c r="N41" s="348" t="s">
        <v>1232</v>
      </c>
      <c r="O41" s="348" t="s">
        <v>1067</v>
      </c>
      <c r="P41" s="348" t="s">
        <v>104</v>
      </c>
      <c r="Q41" s="348" t="s">
        <v>105</v>
      </c>
      <c r="R41" s="348"/>
      <c r="S41" s="348" t="s">
        <v>1168</v>
      </c>
      <c r="T41" s="348" t="s">
        <v>1419</v>
      </c>
      <c r="U41" s="348" t="s">
        <v>40</v>
      </c>
      <c r="V41" s="348" t="s">
        <v>983</v>
      </c>
      <c r="W41" s="348" t="s">
        <v>75</v>
      </c>
      <c r="X41" s="348">
        <f t="shared" si="0"/>
        <v>10</v>
      </c>
    </row>
    <row r="42" spans="1:24" ht="165.6" x14ac:dyDescent="0.3">
      <c r="A42" s="225" t="s">
        <v>112</v>
      </c>
      <c r="B42" s="348" t="s">
        <v>1169</v>
      </c>
      <c r="C42" s="348">
        <v>0</v>
      </c>
      <c r="D42" s="348">
        <v>0</v>
      </c>
      <c r="E42" s="348">
        <v>0</v>
      </c>
      <c r="F42" s="348">
        <v>0</v>
      </c>
      <c r="G42" s="348">
        <v>1</v>
      </c>
      <c r="H42" s="348">
        <v>0</v>
      </c>
      <c r="I42" s="348">
        <v>0</v>
      </c>
      <c r="J42" s="348">
        <v>0</v>
      </c>
      <c r="K42" s="348"/>
      <c r="L42" s="348" t="s">
        <v>98</v>
      </c>
      <c r="M42" s="348" t="s">
        <v>983</v>
      </c>
      <c r="N42" s="348" t="s">
        <v>1232</v>
      </c>
      <c r="O42" s="348" t="s">
        <v>1504</v>
      </c>
      <c r="P42" s="348" t="s">
        <v>1503</v>
      </c>
      <c r="Q42" s="348" t="s">
        <v>107</v>
      </c>
      <c r="R42" s="348"/>
      <c r="S42" s="348" t="s">
        <v>1170</v>
      </c>
      <c r="T42" s="348" t="s">
        <v>975</v>
      </c>
      <c r="U42" s="348" t="s">
        <v>40</v>
      </c>
      <c r="V42" s="348" t="s">
        <v>983</v>
      </c>
      <c r="W42" s="348" t="s">
        <v>75</v>
      </c>
      <c r="X42" s="348">
        <f t="shared" si="0"/>
        <v>10</v>
      </c>
    </row>
    <row r="43" spans="1:24" ht="303.60000000000002" x14ac:dyDescent="0.3">
      <c r="A43" s="225" t="s">
        <v>113</v>
      </c>
      <c r="B43" s="348" t="s">
        <v>109</v>
      </c>
      <c r="C43" s="348">
        <v>0</v>
      </c>
      <c r="D43" s="348">
        <v>0</v>
      </c>
      <c r="E43" s="348">
        <v>0</v>
      </c>
      <c r="F43" s="348">
        <v>0</v>
      </c>
      <c r="G43" s="348">
        <v>1</v>
      </c>
      <c r="H43" s="348">
        <v>0</v>
      </c>
      <c r="I43" s="348">
        <v>0</v>
      </c>
      <c r="J43" s="348">
        <v>0</v>
      </c>
      <c r="K43" s="348"/>
      <c r="L43" s="348" t="s">
        <v>98</v>
      </c>
      <c r="M43" s="348" t="s">
        <v>983</v>
      </c>
      <c r="N43" s="348" t="s">
        <v>1232</v>
      </c>
      <c r="O43" s="348" t="s">
        <v>975</v>
      </c>
      <c r="P43" s="348" t="s">
        <v>1171</v>
      </c>
      <c r="Q43" s="348" t="s">
        <v>110</v>
      </c>
      <c r="R43" s="348"/>
      <c r="S43" s="348" t="s">
        <v>1420</v>
      </c>
      <c r="T43" s="348" t="s">
        <v>975</v>
      </c>
      <c r="U43" s="348" t="s">
        <v>40</v>
      </c>
      <c r="V43" s="348" t="s">
        <v>983</v>
      </c>
      <c r="W43" s="348" t="s">
        <v>75</v>
      </c>
      <c r="X43" s="348">
        <f t="shared" si="0"/>
        <v>10</v>
      </c>
    </row>
    <row r="44" spans="1:24" ht="165.6" x14ac:dyDescent="0.3">
      <c r="A44" s="225" t="s">
        <v>114</v>
      </c>
      <c r="B44" s="348" t="s">
        <v>1172</v>
      </c>
      <c r="C44" s="348">
        <v>0</v>
      </c>
      <c r="D44" s="348">
        <v>0</v>
      </c>
      <c r="E44" s="348">
        <v>0</v>
      </c>
      <c r="F44" s="348">
        <v>0</v>
      </c>
      <c r="G44" s="348">
        <v>1</v>
      </c>
      <c r="H44" s="348">
        <v>0</v>
      </c>
      <c r="I44" s="348">
        <v>0</v>
      </c>
      <c r="J44" s="348">
        <v>0</v>
      </c>
      <c r="K44" s="348"/>
      <c r="L44" s="348" t="s">
        <v>98</v>
      </c>
      <c r="M44" s="348" t="s">
        <v>983</v>
      </c>
      <c r="N44" s="348" t="s">
        <v>1232</v>
      </c>
      <c r="O44" s="348" t="s">
        <v>1173</v>
      </c>
      <c r="P44" s="348" t="s">
        <v>1174</v>
      </c>
      <c r="Q44" s="348" t="s">
        <v>1502</v>
      </c>
      <c r="R44" s="348"/>
      <c r="S44" s="348" t="s">
        <v>1234</v>
      </c>
      <c r="T44" s="348" t="s">
        <v>975</v>
      </c>
      <c r="U44" s="348" t="s">
        <v>40</v>
      </c>
      <c r="V44" s="348" t="s">
        <v>983</v>
      </c>
      <c r="W44" s="348" t="s">
        <v>75</v>
      </c>
      <c r="X44" s="348">
        <f t="shared" si="0"/>
        <v>10</v>
      </c>
    </row>
    <row r="45" spans="1:24" ht="193.2" x14ac:dyDescent="0.3">
      <c r="A45" s="225" t="s">
        <v>116</v>
      </c>
      <c r="B45" s="348" t="s">
        <v>115</v>
      </c>
      <c r="C45" s="348">
        <v>0</v>
      </c>
      <c r="D45" s="348">
        <v>0</v>
      </c>
      <c r="E45" s="348">
        <v>0</v>
      </c>
      <c r="F45" s="348">
        <v>0</v>
      </c>
      <c r="G45" s="348">
        <v>1</v>
      </c>
      <c r="H45" s="348">
        <v>0</v>
      </c>
      <c r="I45" s="348">
        <v>0</v>
      </c>
      <c r="J45" s="348">
        <v>0</v>
      </c>
      <c r="K45" s="348"/>
      <c r="L45" s="348" t="s">
        <v>98</v>
      </c>
      <c r="M45" s="348" t="s">
        <v>983</v>
      </c>
      <c r="N45" s="348" t="s">
        <v>1232</v>
      </c>
      <c r="O45" s="348" t="s">
        <v>1421</v>
      </c>
      <c r="P45" s="348" t="s">
        <v>1175</v>
      </c>
      <c r="Q45" s="348" t="s">
        <v>1068</v>
      </c>
      <c r="R45" s="348"/>
      <c r="S45" s="348" t="s">
        <v>1235</v>
      </c>
      <c r="T45" s="348" t="s">
        <v>1236</v>
      </c>
      <c r="U45" s="348" t="s">
        <v>40</v>
      </c>
      <c r="V45" s="348" t="s">
        <v>983</v>
      </c>
      <c r="W45" s="348" t="s">
        <v>75</v>
      </c>
      <c r="X45" s="348">
        <f t="shared" si="0"/>
        <v>10</v>
      </c>
    </row>
    <row r="46" spans="1:24" ht="248.4" x14ac:dyDescent="0.3">
      <c r="A46" s="225" t="s">
        <v>120</v>
      </c>
      <c r="B46" s="348" t="s">
        <v>117</v>
      </c>
      <c r="C46" s="348">
        <v>0</v>
      </c>
      <c r="D46" s="348">
        <v>0</v>
      </c>
      <c r="E46" s="348">
        <v>0</v>
      </c>
      <c r="F46" s="348">
        <v>0</v>
      </c>
      <c r="G46" s="348">
        <v>1</v>
      </c>
      <c r="H46" s="348">
        <v>0</v>
      </c>
      <c r="I46" s="348">
        <v>0</v>
      </c>
      <c r="J46" s="348">
        <v>0</v>
      </c>
      <c r="K46" s="348"/>
      <c r="L46" s="348" t="s">
        <v>98</v>
      </c>
      <c r="M46" s="348" t="s">
        <v>983</v>
      </c>
      <c r="N46" s="348" t="s">
        <v>1232</v>
      </c>
      <c r="O46" s="348" t="s">
        <v>1422</v>
      </c>
      <c r="P46" s="348" t="s">
        <v>118</v>
      </c>
      <c r="Q46" s="348" t="s">
        <v>119</v>
      </c>
      <c r="R46" s="348"/>
      <c r="S46" s="348" t="s">
        <v>1237</v>
      </c>
      <c r="T46" s="348" t="s">
        <v>975</v>
      </c>
      <c r="U46" s="348" t="s">
        <v>40</v>
      </c>
      <c r="V46" s="348" t="s">
        <v>983</v>
      </c>
      <c r="W46" s="348" t="s">
        <v>75</v>
      </c>
      <c r="X46" s="348">
        <f t="shared" si="0"/>
        <v>10</v>
      </c>
    </row>
    <row r="47" spans="1:24" ht="303.60000000000002" x14ac:dyDescent="0.3">
      <c r="A47" s="225" t="s">
        <v>123</v>
      </c>
      <c r="B47" s="348" t="s">
        <v>124</v>
      </c>
      <c r="C47" s="348">
        <v>0</v>
      </c>
      <c r="D47" s="348">
        <v>0</v>
      </c>
      <c r="E47" s="348">
        <v>0</v>
      </c>
      <c r="F47" s="348">
        <v>0</v>
      </c>
      <c r="G47" s="348">
        <v>1</v>
      </c>
      <c r="H47" s="348">
        <v>0</v>
      </c>
      <c r="I47" s="348">
        <v>0</v>
      </c>
      <c r="J47" s="348">
        <v>0</v>
      </c>
      <c r="K47" s="348"/>
      <c r="L47" s="348" t="s">
        <v>98</v>
      </c>
      <c r="M47" s="348" t="s">
        <v>983</v>
      </c>
      <c r="N47" s="348" t="s">
        <v>1232</v>
      </c>
      <c r="O47" s="348" t="s">
        <v>1500</v>
      </c>
      <c r="P47" s="348" t="s">
        <v>125</v>
      </c>
      <c r="Q47" s="348" t="s">
        <v>1501</v>
      </c>
      <c r="R47" s="348"/>
      <c r="S47" s="348" t="s">
        <v>1238</v>
      </c>
      <c r="U47" s="348" t="s">
        <v>40</v>
      </c>
      <c r="V47" s="348" t="s">
        <v>983</v>
      </c>
      <c r="W47" s="348" t="s">
        <v>75</v>
      </c>
      <c r="X47" s="348">
        <f t="shared" si="0"/>
        <v>10</v>
      </c>
    </row>
    <row r="48" spans="1:24" ht="151.80000000000001" x14ac:dyDescent="0.3">
      <c r="A48" s="225" t="s">
        <v>126</v>
      </c>
      <c r="B48" s="348" t="s">
        <v>127</v>
      </c>
      <c r="C48" s="348">
        <v>0</v>
      </c>
      <c r="D48" s="348">
        <v>0</v>
      </c>
      <c r="E48" s="348">
        <v>0</v>
      </c>
      <c r="F48" s="348">
        <v>0</v>
      </c>
      <c r="G48" s="348">
        <v>1</v>
      </c>
      <c r="H48" s="348">
        <v>0</v>
      </c>
      <c r="I48" s="348">
        <v>0</v>
      </c>
      <c r="J48" s="348">
        <v>0</v>
      </c>
      <c r="K48" s="348"/>
      <c r="L48" s="348" t="s">
        <v>98</v>
      </c>
      <c r="M48" s="348" t="s">
        <v>983</v>
      </c>
      <c r="N48" s="348" t="s">
        <v>1232</v>
      </c>
      <c r="O48" s="348" t="s">
        <v>975</v>
      </c>
      <c r="P48" s="348" t="s">
        <v>1176</v>
      </c>
      <c r="Q48" s="348" t="s">
        <v>128</v>
      </c>
      <c r="R48" s="348"/>
      <c r="S48" s="348" t="s">
        <v>1069</v>
      </c>
      <c r="T48" s="348" t="s">
        <v>1489</v>
      </c>
      <c r="U48" s="348" t="s">
        <v>40</v>
      </c>
      <c r="V48" s="348" t="s">
        <v>983</v>
      </c>
      <c r="W48" s="348" t="s">
        <v>75</v>
      </c>
      <c r="X48" s="348">
        <f t="shared" si="0"/>
        <v>10</v>
      </c>
    </row>
    <row r="49" spans="1:24" ht="220.8" x14ac:dyDescent="0.3">
      <c r="A49" s="225" t="s">
        <v>129</v>
      </c>
      <c r="B49" s="348" t="s">
        <v>1499</v>
      </c>
      <c r="C49" s="348">
        <v>0</v>
      </c>
      <c r="D49" s="348">
        <v>0</v>
      </c>
      <c r="E49" s="348">
        <v>0</v>
      </c>
      <c r="F49" s="348">
        <v>0</v>
      </c>
      <c r="G49" s="348">
        <v>1</v>
      </c>
      <c r="H49" s="348">
        <v>0</v>
      </c>
      <c r="I49" s="348">
        <v>0</v>
      </c>
      <c r="J49" s="348">
        <v>0</v>
      </c>
      <c r="K49" s="348"/>
      <c r="L49" s="348" t="s">
        <v>98</v>
      </c>
      <c r="M49" s="348" t="s">
        <v>983</v>
      </c>
      <c r="N49" s="348" t="s">
        <v>1232</v>
      </c>
      <c r="O49" s="348" t="s">
        <v>1070</v>
      </c>
      <c r="P49" s="348" t="s">
        <v>1070</v>
      </c>
      <c r="Q49" s="348" t="s">
        <v>1071</v>
      </c>
      <c r="R49" s="348"/>
      <c r="S49" s="348" t="s">
        <v>1423</v>
      </c>
      <c r="T49" s="348" t="s">
        <v>975</v>
      </c>
      <c r="U49" s="348" t="s">
        <v>148</v>
      </c>
      <c r="V49" s="348" t="s">
        <v>983</v>
      </c>
      <c r="W49" s="348" t="s">
        <v>75</v>
      </c>
      <c r="X49" s="348">
        <f t="shared" si="0"/>
        <v>10</v>
      </c>
    </row>
    <row r="50" spans="1:24" ht="193.2" x14ac:dyDescent="0.3">
      <c r="A50" s="360" t="s">
        <v>130</v>
      </c>
      <c r="B50" s="360" t="s">
        <v>1072</v>
      </c>
      <c r="C50" s="348">
        <v>0</v>
      </c>
      <c r="D50" s="348">
        <v>1</v>
      </c>
      <c r="E50" s="348">
        <v>0</v>
      </c>
      <c r="F50" s="348">
        <v>0</v>
      </c>
      <c r="G50" s="348">
        <v>0</v>
      </c>
      <c r="H50" s="348">
        <v>0</v>
      </c>
      <c r="I50" s="348">
        <v>0</v>
      </c>
      <c r="J50" s="348">
        <v>1</v>
      </c>
      <c r="K50" s="348"/>
      <c r="L50" s="348" t="s">
        <v>131</v>
      </c>
      <c r="M50" s="348" t="s">
        <v>983</v>
      </c>
      <c r="N50" s="348" t="s">
        <v>975</v>
      </c>
      <c r="O50" s="348"/>
      <c r="P50" s="348" t="s">
        <v>132</v>
      </c>
      <c r="Q50" s="348" t="s">
        <v>133</v>
      </c>
      <c r="R50" s="356" t="s">
        <v>1567</v>
      </c>
      <c r="S50" s="348" t="s">
        <v>1239</v>
      </c>
      <c r="T50" s="348" t="s">
        <v>1240</v>
      </c>
      <c r="U50" s="348" t="s">
        <v>40</v>
      </c>
      <c r="V50" s="348" t="s">
        <v>983</v>
      </c>
      <c r="W50" s="348" t="s">
        <v>46</v>
      </c>
      <c r="X50" s="348">
        <f t="shared" si="0"/>
        <v>20</v>
      </c>
    </row>
    <row r="51" spans="1:24" ht="110.4" x14ac:dyDescent="0.3">
      <c r="A51" s="360" t="s">
        <v>134</v>
      </c>
      <c r="B51" s="360" t="s">
        <v>1424</v>
      </c>
      <c r="C51" s="348">
        <v>0</v>
      </c>
      <c r="D51" s="348">
        <v>1</v>
      </c>
      <c r="E51" s="348">
        <v>0</v>
      </c>
      <c r="F51" s="348">
        <v>0</v>
      </c>
      <c r="G51" s="348">
        <v>0</v>
      </c>
      <c r="H51" s="348">
        <v>0</v>
      </c>
      <c r="I51" s="348">
        <v>0</v>
      </c>
      <c r="J51" s="348">
        <v>1</v>
      </c>
      <c r="K51" s="348"/>
      <c r="L51" s="348" t="s">
        <v>131</v>
      </c>
      <c r="M51" s="348" t="s">
        <v>983</v>
      </c>
      <c r="N51" s="348" t="s">
        <v>975</v>
      </c>
      <c r="O51" s="348" t="s">
        <v>1400</v>
      </c>
      <c r="P51" s="348" t="s">
        <v>1400</v>
      </c>
      <c r="Q51" s="348" t="s">
        <v>1400</v>
      </c>
      <c r="R51" s="356" t="s">
        <v>1567</v>
      </c>
      <c r="S51" s="348" t="s">
        <v>1871</v>
      </c>
      <c r="T51" s="348" t="s">
        <v>135</v>
      </c>
      <c r="U51" s="348" t="s">
        <v>40</v>
      </c>
      <c r="V51" s="348" t="s">
        <v>983</v>
      </c>
      <c r="W51" s="348" t="s">
        <v>46</v>
      </c>
      <c r="X51" s="348">
        <f t="shared" si="0"/>
        <v>20</v>
      </c>
    </row>
    <row r="52" spans="1:24" ht="82.8" x14ac:dyDescent="0.3">
      <c r="A52" s="360" t="s">
        <v>136</v>
      </c>
      <c r="B52" s="360" t="s">
        <v>1425</v>
      </c>
      <c r="C52" s="348">
        <v>0</v>
      </c>
      <c r="D52" s="348">
        <v>1</v>
      </c>
      <c r="E52" s="348">
        <v>0</v>
      </c>
      <c r="F52" s="348">
        <v>0</v>
      </c>
      <c r="G52" s="348">
        <v>0</v>
      </c>
      <c r="H52" s="348">
        <v>0</v>
      </c>
      <c r="I52" s="348">
        <v>0</v>
      </c>
      <c r="J52" s="348">
        <v>1</v>
      </c>
      <c r="K52" s="348"/>
      <c r="L52" s="348" t="s">
        <v>131</v>
      </c>
      <c r="M52" s="348" t="s">
        <v>983</v>
      </c>
      <c r="N52" s="348" t="s">
        <v>975</v>
      </c>
      <c r="O52" s="348" t="s">
        <v>975</v>
      </c>
      <c r="P52" s="348" t="s">
        <v>975</v>
      </c>
      <c r="Q52" s="348" t="s">
        <v>975</v>
      </c>
      <c r="R52" s="356" t="s">
        <v>1567</v>
      </c>
      <c r="S52" s="348" t="s">
        <v>1872</v>
      </c>
      <c r="T52" s="348" t="s">
        <v>1073</v>
      </c>
      <c r="U52" s="348" t="s">
        <v>40</v>
      </c>
      <c r="V52" s="348" t="s">
        <v>983</v>
      </c>
      <c r="W52" s="348" t="s">
        <v>46</v>
      </c>
      <c r="X52" s="348">
        <f t="shared" si="0"/>
        <v>20</v>
      </c>
    </row>
    <row r="53" spans="1:24" ht="358.8" x14ac:dyDescent="0.3">
      <c r="A53" s="360" t="s">
        <v>137</v>
      </c>
      <c r="B53" s="360" t="s">
        <v>985</v>
      </c>
      <c r="C53" s="348">
        <v>0</v>
      </c>
      <c r="D53" s="348">
        <v>1</v>
      </c>
      <c r="E53" s="348">
        <v>0</v>
      </c>
      <c r="F53" s="348">
        <v>0</v>
      </c>
      <c r="G53" s="348">
        <v>0</v>
      </c>
      <c r="H53" s="348">
        <v>0</v>
      </c>
      <c r="I53" s="348">
        <v>0</v>
      </c>
      <c r="J53" s="348">
        <v>1</v>
      </c>
      <c r="K53" s="348"/>
      <c r="L53" s="348" t="s">
        <v>131</v>
      </c>
      <c r="M53" s="348" t="s">
        <v>983</v>
      </c>
      <c r="N53" s="348" t="s">
        <v>975</v>
      </c>
      <c r="O53" s="348" t="s">
        <v>1241</v>
      </c>
      <c r="P53" s="348" t="s">
        <v>138</v>
      </c>
      <c r="Q53" s="348" t="s">
        <v>139</v>
      </c>
      <c r="R53" s="356" t="s">
        <v>1567</v>
      </c>
      <c r="S53" s="348" t="s">
        <v>1242</v>
      </c>
      <c r="T53" s="348" t="s">
        <v>1243</v>
      </c>
      <c r="U53" s="348" t="s">
        <v>40</v>
      </c>
      <c r="V53" s="348" t="s">
        <v>983</v>
      </c>
      <c r="W53" s="348" t="s">
        <v>46</v>
      </c>
      <c r="X53" s="348">
        <f t="shared" si="0"/>
        <v>20</v>
      </c>
    </row>
    <row r="54" spans="1:24" ht="193.2" x14ac:dyDescent="0.3">
      <c r="A54" s="348" t="s">
        <v>140</v>
      </c>
      <c r="B54" s="348" t="s">
        <v>1074</v>
      </c>
      <c r="C54" s="348">
        <v>0</v>
      </c>
      <c r="D54" s="348">
        <v>1</v>
      </c>
      <c r="E54" s="348">
        <v>0</v>
      </c>
      <c r="F54" s="348">
        <v>0</v>
      </c>
      <c r="G54" s="348">
        <v>0</v>
      </c>
      <c r="H54" s="348">
        <v>0</v>
      </c>
      <c r="I54" s="348">
        <v>0</v>
      </c>
      <c r="J54" s="348">
        <v>0</v>
      </c>
      <c r="K54" s="348"/>
      <c r="L54" s="348" t="s">
        <v>131</v>
      </c>
      <c r="M54" s="348" t="s">
        <v>983</v>
      </c>
      <c r="N54" s="348" t="s">
        <v>975</v>
      </c>
      <c r="O54" s="348" t="s">
        <v>141</v>
      </c>
      <c r="P54" s="348" t="s">
        <v>142</v>
      </c>
      <c r="Q54" s="348" t="s">
        <v>143</v>
      </c>
      <c r="R54" s="348"/>
      <c r="S54" s="348" t="s">
        <v>1244</v>
      </c>
      <c r="T54" s="348" t="s">
        <v>144</v>
      </c>
      <c r="U54" s="348" t="s">
        <v>40</v>
      </c>
      <c r="V54" s="348" t="s">
        <v>983</v>
      </c>
      <c r="W54" s="348" t="s">
        <v>75</v>
      </c>
      <c r="X54" s="348">
        <f t="shared" si="0"/>
        <v>10</v>
      </c>
    </row>
    <row r="55" spans="1:24" ht="151.80000000000001" x14ac:dyDescent="0.3">
      <c r="A55" s="360" t="s">
        <v>145</v>
      </c>
      <c r="B55" s="360" t="s">
        <v>986</v>
      </c>
      <c r="C55" s="348">
        <v>0</v>
      </c>
      <c r="D55" s="348">
        <v>0</v>
      </c>
      <c r="E55" s="348">
        <v>0</v>
      </c>
      <c r="F55" s="348">
        <v>0</v>
      </c>
      <c r="G55" s="348">
        <v>0</v>
      </c>
      <c r="H55" s="348">
        <v>1</v>
      </c>
      <c r="I55" s="348">
        <v>0</v>
      </c>
      <c r="J55" s="348">
        <v>1</v>
      </c>
      <c r="K55" s="348"/>
      <c r="L55" s="348" t="s">
        <v>147</v>
      </c>
      <c r="M55" s="348" t="s">
        <v>983</v>
      </c>
      <c r="N55" s="348" t="s">
        <v>1245</v>
      </c>
      <c r="O55" s="348" t="s">
        <v>975</v>
      </c>
      <c r="P55" s="348" t="s">
        <v>975</v>
      </c>
      <c r="Q55" s="348" t="s">
        <v>975</v>
      </c>
      <c r="R55" s="348"/>
      <c r="S55" s="348" t="s">
        <v>1075</v>
      </c>
      <c r="T55" s="348" t="s">
        <v>34</v>
      </c>
      <c r="U55" s="348" t="s">
        <v>148</v>
      </c>
      <c r="V55" s="348" t="s">
        <v>983</v>
      </c>
      <c r="W55" s="348" t="s">
        <v>46</v>
      </c>
      <c r="X55" s="348">
        <f t="shared" si="0"/>
        <v>20</v>
      </c>
    </row>
    <row r="56" spans="1:24" ht="151.80000000000001" x14ac:dyDescent="0.3">
      <c r="A56" s="360" t="s">
        <v>149</v>
      </c>
      <c r="B56" s="360" t="s">
        <v>987</v>
      </c>
      <c r="C56" s="348">
        <v>0</v>
      </c>
      <c r="D56" s="348">
        <v>0</v>
      </c>
      <c r="E56" s="348">
        <v>0</v>
      </c>
      <c r="F56" s="348">
        <v>0</v>
      </c>
      <c r="G56" s="348">
        <v>0</v>
      </c>
      <c r="H56" s="348">
        <v>1</v>
      </c>
      <c r="I56" s="348">
        <v>0</v>
      </c>
      <c r="J56" s="348">
        <v>1</v>
      </c>
      <c r="K56" s="348"/>
      <c r="L56" s="348" t="s">
        <v>147</v>
      </c>
      <c r="M56" s="348" t="s">
        <v>983</v>
      </c>
      <c r="N56" s="348" t="s">
        <v>1245</v>
      </c>
      <c r="O56" s="348" t="s">
        <v>975</v>
      </c>
      <c r="P56" s="348" t="s">
        <v>975</v>
      </c>
      <c r="Q56" s="348" t="s">
        <v>975</v>
      </c>
      <c r="R56" s="348"/>
      <c r="S56" s="348" t="s">
        <v>1075</v>
      </c>
      <c r="T56" s="348" t="s">
        <v>34</v>
      </c>
      <c r="U56" s="348" t="s">
        <v>40</v>
      </c>
      <c r="V56" s="348" t="s">
        <v>983</v>
      </c>
      <c r="W56" s="348" t="s">
        <v>46</v>
      </c>
      <c r="X56" s="348">
        <f t="shared" si="0"/>
        <v>20</v>
      </c>
    </row>
    <row r="57" spans="1:24" ht="151.80000000000001" x14ac:dyDescent="0.3">
      <c r="A57" s="360" t="s">
        <v>150</v>
      </c>
      <c r="B57" s="360" t="s">
        <v>1426</v>
      </c>
      <c r="C57" s="348">
        <v>0</v>
      </c>
      <c r="D57" s="348">
        <v>0</v>
      </c>
      <c r="E57" s="348">
        <v>0</v>
      </c>
      <c r="F57" s="348">
        <v>0</v>
      </c>
      <c r="G57" s="348">
        <v>0</v>
      </c>
      <c r="H57" s="348">
        <v>1</v>
      </c>
      <c r="I57" s="348">
        <v>0</v>
      </c>
      <c r="J57" s="348">
        <v>1</v>
      </c>
      <c r="K57" s="348"/>
      <c r="L57" s="348" t="s">
        <v>147</v>
      </c>
      <c r="M57" s="348" t="s">
        <v>983</v>
      </c>
      <c r="N57" s="348" t="s">
        <v>1245</v>
      </c>
      <c r="O57" s="348" t="s">
        <v>975</v>
      </c>
      <c r="P57" s="348" t="s">
        <v>975</v>
      </c>
      <c r="Q57" s="348" t="s">
        <v>975</v>
      </c>
      <c r="R57" s="348" t="s">
        <v>1528</v>
      </c>
      <c r="S57" s="348" t="s">
        <v>1075</v>
      </c>
      <c r="T57" s="348" t="s">
        <v>34</v>
      </c>
      <c r="U57" s="348" t="s">
        <v>40</v>
      </c>
      <c r="V57" s="348" t="s">
        <v>983</v>
      </c>
      <c r="W57" s="348" t="s">
        <v>46</v>
      </c>
      <c r="X57" s="348">
        <f t="shared" si="0"/>
        <v>20</v>
      </c>
    </row>
    <row r="58" spans="1:24" ht="151.80000000000001" x14ac:dyDescent="0.3">
      <c r="A58" s="360" t="s">
        <v>152</v>
      </c>
      <c r="B58" s="360" t="s">
        <v>1462</v>
      </c>
      <c r="C58" s="348">
        <v>0</v>
      </c>
      <c r="D58" s="348">
        <v>0</v>
      </c>
      <c r="E58" s="348">
        <v>0</v>
      </c>
      <c r="F58" s="348">
        <v>0</v>
      </c>
      <c r="G58" s="348">
        <v>0</v>
      </c>
      <c r="H58" s="348">
        <v>1</v>
      </c>
      <c r="I58" s="348">
        <v>0</v>
      </c>
      <c r="J58" s="348">
        <v>1</v>
      </c>
      <c r="K58" s="348"/>
      <c r="L58" s="348" t="s">
        <v>147</v>
      </c>
      <c r="M58" s="348" t="s">
        <v>983</v>
      </c>
      <c r="N58" s="348" t="s">
        <v>1245</v>
      </c>
      <c r="O58" s="348" t="s">
        <v>975</v>
      </c>
      <c r="P58" s="348" t="s">
        <v>975</v>
      </c>
      <c r="Q58" s="348" t="s">
        <v>975</v>
      </c>
      <c r="R58" s="348" t="s">
        <v>1528</v>
      </c>
      <c r="S58" s="348" t="s">
        <v>1075</v>
      </c>
      <c r="T58" s="348" t="s">
        <v>34</v>
      </c>
      <c r="U58" s="348" t="s">
        <v>40</v>
      </c>
      <c r="V58" s="348" t="s">
        <v>983</v>
      </c>
      <c r="W58" s="348" t="s">
        <v>46</v>
      </c>
      <c r="X58" s="348">
        <f t="shared" si="0"/>
        <v>20</v>
      </c>
    </row>
    <row r="59" spans="1:24" ht="151.80000000000001" x14ac:dyDescent="0.3">
      <c r="A59" s="348" t="s">
        <v>154</v>
      </c>
      <c r="B59" s="348" t="s">
        <v>146</v>
      </c>
      <c r="C59" s="348">
        <v>0</v>
      </c>
      <c r="D59" s="348">
        <v>0</v>
      </c>
      <c r="E59" s="348">
        <v>0</v>
      </c>
      <c r="F59" s="348">
        <v>0</v>
      </c>
      <c r="G59" s="348">
        <v>0</v>
      </c>
      <c r="H59" s="348">
        <v>1</v>
      </c>
      <c r="I59" s="348">
        <v>0</v>
      </c>
      <c r="J59" s="348">
        <v>1</v>
      </c>
      <c r="K59" s="348"/>
      <c r="L59" s="348" t="s">
        <v>147</v>
      </c>
      <c r="M59" s="348" t="s">
        <v>983</v>
      </c>
      <c r="N59" s="348" t="s">
        <v>1245</v>
      </c>
      <c r="O59" s="348" t="s">
        <v>975</v>
      </c>
      <c r="P59" s="348" t="s">
        <v>975</v>
      </c>
      <c r="Q59" s="348" t="s">
        <v>975</v>
      </c>
      <c r="R59" s="348"/>
      <c r="S59" s="348" t="s">
        <v>1075</v>
      </c>
      <c r="T59" s="348" t="s">
        <v>34</v>
      </c>
      <c r="U59" s="348" t="s">
        <v>148</v>
      </c>
      <c r="V59" s="348" t="s">
        <v>983</v>
      </c>
      <c r="W59" s="348" t="s">
        <v>75</v>
      </c>
      <c r="X59" s="348">
        <f t="shared" si="0"/>
        <v>10</v>
      </c>
    </row>
    <row r="60" spans="1:24" ht="151.80000000000001" x14ac:dyDescent="0.3">
      <c r="A60" s="348" t="s">
        <v>155</v>
      </c>
      <c r="B60" s="348" t="s">
        <v>151</v>
      </c>
      <c r="C60" s="348">
        <v>0</v>
      </c>
      <c r="D60" s="348">
        <v>0</v>
      </c>
      <c r="E60" s="348">
        <v>0</v>
      </c>
      <c r="F60" s="348">
        <v>0</v>
      </c>
      <c r="G60" s="348">
        <v>0</v>
      </c>
      <c r="H60" s="348">
        <v>1</v>
      </c>
      <c r="I60" s="348">
        <v>0</v>
      </c>
      <c r="J60" s="348">
        <v>1</v>
      </c>
      <c r="K60" s="348"/>
      <c r="L60" s="348" t="s">
        <v>147</v>
      </c>
      <c r="M60" s="348" t="s">
        <v>983</v>
      </c>
      <c r="N60" s="348" t="s">
        <v>1245</v>
      </c>
      <c r="O60" s="348" t="s">
        <v>975</v>
      </c>
      <c r="P60" s="348" t="s">
        <v>975</v>
      </c>
      <c r="Q60" s="348" t="s">
        <v>975</v>
      </c>
      <c r="R60" s="348"/>
      <c r="S60" s="348" t="s">
        <v>1075</v>
      </c>
      <c r="T60" s="348" t="s">
        <v>34</v>
      </c>
      <c r="U60" s="348" t="s">
        <v>148</v>
      </c>
      <c r="V60" s="348" t="s">
        <v>983</v>
      </c>
      <c r="W60" s="348" t="s">
        <v>75</v>
      </c>
      <c r="X60" s="348">
        <f t="shared" si="0"/>
        <v>10</v>
      </c>
    </row>
    <row r="61" spans="1:24" ht="151.80000000000001" x14ac:dyDescent="0.3">
      <c r="A61" s="348" t="s">
        <v>157</v>
      </c>
      <c r="B61" s="348" t="s">
        <v>153</v>
      </c>
      <c r="C61" s="348">
        <v>0</v>
      </c>
      <c r="D61" s="348">
        <v>0</v>
      </c>
      <c r="E61" s="348">
        <v>0</v>
      </c>
      <c r="F61" s="348">
        <v>0</v>
      </c>
      <c r="G61" s="348">
        <v>0</v>
      </c>
      <c r="H61" s="348">
        <v>1</v>
      </c>
      <c r="I61" s="348">
        <v>0</v>
      </c>
      <c r="J61" s="348">
        <v>1</v>
      </c>
      <c r="K61" s="348"/>
      <c r="L61" s="348" t="s">
        <v>147</v>
      </c>
      <c r="M61" s="348" t="s">
        <v>983</v>
      </c>
      <c r="N61" s="348" t="s">
        <v>1245</v>
      </c>
      <c r="O61" s="348" t="s">
        <v>975</v>
      </c>
      <c r="P61" s="348" t="s">
        <v>975</v>
      </c>
      <c r="Q61" s="348" t="s">
        <v>975</v>
      </c>
      <c r="R61" s="348"/>
      <c r="S61" s="348" t="s">
        <v>1075</v>
      </c>
      <c r="T61" s="348" t="s">
        <v>34</v>
      </c>
      <c r="U61" s="348" t="s">
        <v>148</v>
      </c>
      <c r="V61" s="348" t="s">
        <v>983</v>
      </c>
      <c r="W61" s="348" t="s">
        <v>75</v>
      </c>
      <c r="X61" s="348">
        <f t="shared" si="0"/>
        <v>10</v>
      </c>
    </row>
    <row r="62" spans="1:24" ht="151.80000000000001" x14ac:dyDescent="0.3">
      <c r="A62" s="348" t="s">
        <v>158</v>
      </c>
      <c r="B62" s="348" t="s">
        <v>156</v>
      </c>
      <c r="C62" s="348">
        <v>0</v>
      </c>
      <c r="D62" s="348">
        <v>0</v>
      </c>
      <c r="E62" s="348">
        <v>0</v>
      </c>
      <c r="F62" s="348">
        <v>0</v>
      </c>
      <c r="G62" s="348">
        <v>0</v>
      </c>
      <c r="H62" s="348">
        <v>1</v>
      </c>
      <c r="I62" s="348">
        <v>0</v>
      </c>
      <c r="J62" s="348">
        <v>1</v>
      </c>
      <c r="K62" s="348"/>
      <c r="L62" s="348" t="s">
        <v>147</v>
      </c>
      <c r="M62" s="348" t="s">
        <v>983</v>
      </c>
      <c r="N62" s="348" t="s">
        <v>1245</v>
      </c>
      <c r="O62" s="348" t="s">
        <v>975</v>
      </c>
      <c r="P62" s="348"/>
      <c r="Q62" s="348" t="s">
        <v>975</v>
      </c>
      <c r="R62" s="348"/>
      <c r="S62" s="348" t="s">
        <v>1075</v>
      </c>
      <c r="T62" s="348" t="s">
        <v>34</v>
      </c>
      <c r="U62" s="348" t="s">
        <v>148</v>
      </c>
      <c r="V62" s="348" t="s">
        <v>983</v>
      </c>
      <c r="W62" s="348" t="s">
        <v>75</v>
      </c>
      <c r="X62" s="348">
        <f t="shared" si="0"/>
        <v>10</v>
      </c>
    </row>
    <row r="63" spans="1:24" ht="151.80000000000001" x14ac:dyDescent="0.3">
      <c r="A63" s="348" t="s">
        <v>160</v>
      </c>
      <c r="B63" s="348" t="s">
        <v>159</v>
      </c>
      <c r="C63" s="348">
        <v>0</v>
      </c>
      <c r="D63" s="348">
        <v>0</v>
      </c>
      <c r="E63" s="348">
        <v>0</v>
      </c>
      <c r="F63" s="348">
        <v>0</v>
      </c>
      <c r="G63" s="348">
        <v>0</v>
      </c>
      <c r="H63" s="348">
        <v>1</v>
      </c>
      <c r="I63" s="348">
        <v>0</v>
      </c>
      <c r="J63" s="348">
        <v>1</v>
      </c>
      <c r="K63" s="348"/>
      <c r="L63" s="348" t="s">
        <v>147</v>
      </c>
      <c r="M63" s="348" t="s">
        <v>983</v>
      </c>
      <c r="N63" s="348" t="s">
        <v>1245</v>
      </c>
      <c r="O63" s="348" t="s">
        <v>975</v>
      </c>
      <c r="P63" s="348"/>
      <c r="Q63" s="348" t="s">
        <v>975</v>
      </c>
      <c r="R63" s="348"/>
      <c r="S63" s="348" t="s">
        <v>1075</v>
      </c>
      <c r="T63" s="348" t="s">
        <v>34</v>
      </c>
      <c r="U63" s="348" t="s">
        <v>148</v>
      </c>
      <c r="V63" s="348" t="s">
        <v>983</v>
      </c>
      <c r="W63" s="348" t="s">
        <v>75</v>
      </c>
      <c r="X63" s="348">
        <f t="shared" si="0"/>
        <v>10</v>
      </c>
    </row>
    <row r="64" spans="1:24" ht="193.2" x14ac:dyDescent="0.3">
      <c r="A64" s="360" t="s">
        <v>161</v>
      </c>
      <c r="B64" s="360" t="s">
        <v>988</v>
      </c>
      <c r="C64" s="348">
        <v>0</v>
      </c>
      <c r="D64" s="348">
        <v>0</v>
      </c>
      <c r="E64" s="348">
        <v>0</v>
      </c>
      <c r="F64" s="348">
        <v>1</v>
      </c>
      <c r="G64" s="348">
        <v>0</v>
      </c>
      <c r="H64" s="348">
        <v>0</v>
      </c>
      <c r="I64" s="348">
        <v>0</v>
      </c>
      <c r="J64" s="348">
        <v>1</v>
      </c>
      <c r="K64" s="348"/>
      <c r="L64" s="348" t="s">
        <v>162</v>
      </c>
      <c r="M64" s="348" t="s">
        <v>983</v>
      </c>
      <c r="N64" s="348" t="s">
        <v>1246</v>
      </c>
      <c r="O64" s="348" t="s">
        <v>163</v>
      </c>
      <c r="P64" s="348" t="s">
        <v>164</v>
      </c>
      <c r="Q64" s="348" t="s">
        <v>165</v>
      </c>
      <c r="R64" s="348"/>
      <c r="S64" s="348" t="s">
        <v>1207</v>
      </c>
      <c r="T64" s="348" t="s">
        <v>1247</v>
      </c>
      <c r="U64" s="348" t="s">
        <v>40</v>
      </c>
      <c r="V64" s="348" t="s">
        <v>983</v>
      </c>
      <c r="W64" s="348" t="s">
        <v>46</v>
      </c>
      <c r="X64" s="348">
        <f t="shared" si="0"/>
        <v>20</v>
      </c>
    </row>
    <row r="65" spans="1:24" ht="193.2" x14ac:dyDescent="0.3">
      <c r="A65" s="360" t="s">
        <v>166</v>
      </c>
      <c r="B65" s="360" t="s">
        <v>989</v>
      </c>
      <c r="C65" s="348">
        <v>0</v>
      </c>
      <c r="D65" s="348">
        <v>0</v>
      </c>
      <c r="E65" s="348">
        <v>0</v>
      </c>
      <c r="F65" s="348">
        <v>1</v>
      </c>
      <c r="G65" s="348">
        <v>0</v>
      </c>
      <c r="H65" s="348">
        <v>0</v>
      </c>
      <c r="I65" s="348">
        <v>0</v>
      </c>
      <c r="J65" s="348">
        <v>0</v>
      </c>
      <c r="K65" s="348"/>
      <c r="L65" s="348" t="s">
        <v>162</v>
      </c>
      <c r="M65" s="348" t="s">
        <v>983</v>
      </c>
      <c r="N65" s="348" t="s">
        <v>1246</v>
      </c>
      <c r="O65" s="348" t="s">
        <v>975</v>
      </c>
      <c r="P65" s="348" t="s">
        <v>176</v>
      </c>
      <c r="Q65" s="348" t="s">
        <v>177</v>
      </c>
      <c r="R65" s="348"/>
      <c r="S65" s="348" t="s">
        <v>1248</v>
      </c>
      <c r="T65" s="348" t="s">
        <v>1249</v>
      </c>
      <c r="U65" s="348" t="s">
        <v>40</v>
      </c>
      <c r="V65" s="348" t="s">
        <v>983</v>
      </c>
      <c r="W65" s="348" t="s">
        <v>46</v>
      </c>
      <c r="X65" s="348">
        <f t="shared" si="0"/>
        <v>20</v>
      </c>
    </row>
    <row r="66" spans="1:24" ht="179.4" x14ac:dyDescent="0.3">
      <c r="A66" s="360" t="s">
        <v>170</v>
      </c>
      <c r="B66" s="360" t="s">
        <v>990</v>
      </c>
      <c r="C66" s="348">
        <v>0</v>
      </c>
      <c r="D66" s="348">
        <v>0</v>
      </c>
      <c r="E66" s="348">
        <v>0</v>
      </c>
      <c r="F66" s="348">
        <v>1</v>
      </c>
      <c r="G66" s="348">
        <v>0</v>
      </c>
      <c r="H66" s="348">
        <v>0</v>
      </c>
      <c r="I66" s="348">
        <v>0</v>
      </c>
      <c r="J66" s="348">
        <v>0</v>
      </c>
      <c r="K66" s="348"/>
      <c r="L66" s="348" t="s">
        <v>162</v>
      </c>
      <c r="M66" s="348" t="s">
        <v>983</v>
      </c>
      <c r="N66" s="348" t="s">
        <v>1246</v>
      </c>
      <c r="O66" s="348" t="s">
        <v>183</v>
      </c>
      <c r="P66" s="348" t="s">
        <v>184</v>
      </c>
      <c r="Q66" s="348" t="s">
        <v>185</v>
      </c>
      <c r="R66" s="348"/>
      <c r="S66" s="348" t="s">
        <v>1392</v>
      </c>
      <c r="T66" s="348" t="s">
        <v>1250</v>
      </c>
      <c r="U66" s="348" t="s">
        <v>40</v>
      </c>
      <c r="V66" s="348" t="s">
        <v>983</v>
      </c>
      <c r="W66" s="348" t="s">
        <v>46</v>
      </c>
      <c r="X66" s="348">
        <f t="shared" si="0"/>
        <v>20</v>
      </c>
    </row>
    <row r="67" spans="1:24" ht="82.8" x14ac:dyDescent="0.3">
      <c r="A67" s="360" t="s">
        <v>175</v>
      </c>
      <c r="B67" s="360" t="s">
        <v>1698</v>
      </c>
      <c r="C67" s="348">
        <v>0</v>
      </c>
      <c r="D67" s="348">
        <v>0</v>
      </c>
      <c r="E67" s="348">
        <v>0</v>
      </c>
      <c r="F67" s="348">
        <v>1</v>
      </c>
      <c r="G67" s="348">
        <v>0</v>
      </c>
      <c r="H67" s="348">
        <v>0</v>
      </c>
      <c r="I67" s="348">
        <v>0</v>
      </c>
      <c r="J67" s="348">
        <v>1</v>
      </c>
      <c r="K67" s="348"/>
      <c r="L67" s="348" t="s">
        <v>162</v>
      </c>
      <c r="M67" s="348" t="s">
        <v>983</v>
      </c>
      <c r="N67" s="348" t="s">
        <v>1246</v>
      </c>
      <c r="O67" s="348" t="s">
        <v>975</v>
      </c>
      <c r="P67" s="348" t="s">
        <v>192</v>
      </c>
      <c r="Q67" s="348" t="s">
        <v>193</v>
      </c>
      <c r="R67" s="348"/>
      <c r="S67" s="348" t="s">
        <v>194</v>
      </c>
      <c r="T67" s="348" t="s">
        <v>1251</v>
      </c>
      <c r="U67" s="348" t="s">
        <v>148</v>
      </c>
      <c r="V67" s="348" t="s">
        <v>983</v>
      </c>
      <c r="W67" s="348" t="s">
        <v>46</v>
      </c>
      <c r="X67" s="348">
        <f t="shared" si="0"/>
        <v>20</v>
      </c>
    </row>
    <row r="68" spans="1:24" ht="234.6" x14ac:dyDescent="0.3">
      <c r="A68" s="360" t="s">
        <v>178</v>
      </c>
      <c r="B68" s="360" t="s">
        <v>991</v>
      </c>
      <c r="C68" s="348">
        <v>0</v>
      </c>
      <c r="D68" s="348">
        <v>0</v>
      </c>
      <c r="E68" s="348">
        <v>0</v>
      </c>
      <c r="F68" s="348">
        <v>1</v>
      </c>
      <c r="G68" s="348">
        <v>0</v>
      </c>
      <c r="H68" s="348">
        <v>0</v>
      </c>
      <c r="I68" s="348">
        <v>0</v>
      </c>
      <c r="J68" s="348">
        <v>0</v>
      </c>
      <c r="K68" s="348"/>
      <c r="L68" s="348" t="s">
        <v>162</v>
      </c>
      <c r="M68" s="348" t="s">
        <v>983</v>
      </c>
      <c r="N68" s="348" t="s">
        <v>1246</v>
      </c>
      <c r="O68" s="348" t="s">
        <v>975</v>
      </c>
      <c r="P68" s="348" t="s">
        <v>196</v>
      </c>
      <c r="Q68" s="348" t="s">
        <v>197</v>
      </c>
      <c r="R68" s="348"/>
      <c r="S68" s="348" t="s">
        <v>1252</v>
      </c>
      <c r="T68" s="348" t="s">
        <v>1253</v>
      </c>
      <c r="U68" s="348" t="s">
        <v>40</v>
      </c>
      <c r="V68" s="348" t="s">
        <v>983</v>
      </c>
      <c r="W68" s="348" t="s">
        <v>46</v>
      </c>
      <c r="X68" s="348">
        <f t="shared" si="0"/>
        <v>20</v>
      </c>
    </row>
    <row r="69" spans="1:24" ht="220.8" x14ac:dyDescent="0.3">
      <c r="A69" s="360" t="s">
        <v>182</v>
      </c>
      <c r="B69" s="360" t="s">
        <v>992</v>
      </c>
      <c r="C69" s="348">
        <v>0</v>
      </c>
      <c r="D69" s="348">
        <v>0</v>
      </c>
      <c r="E69" s="348">
        <v>0</v>
      </c>
      <c r="F69" s="348">
        <v>1</v>
      </c>
      <c r="G69" s="348">
        <v>0</v>
      </c>
      <c r="H69" s="348">
        <v>0</v>
      </c>
      <c r="I69" s="348">
        <v>0</v>
      </c>
      <c r="J69" s="348">
        <v>0</v>
      </c>
      <c r="K69" s="348"/>
      <c r="L69" s="348" t="s">
        <v>162</v>
      </c>
      <c r="M69" s="348" t="s">
        <v>983</v>
      </c>
      <c r="N69" s="348" t="s">
        <v>1246</v>
      </c>
      <c r="O69" s="348" t="s">
        <v>975</v>
      </c>
      <c r="P69" s="348" t="s">
        <v>211</v>
      </c>
      <c r="Q69" s="348" t="s">
        <v>212</v>
      </c>
      <c r="R69" s="348"/>
      <c r="S69" s="348" t="s">
        <v>1254</v>
      </c>
      <c r="T69" s="348" t="s">
        <v>1255</v>
      </c>
      <c r="U69" s="348" t="s">
        <v>40</v>
      </c>
      <c r="V69" s="348" t="s">
        <v>983</v>
      </c>
      <c r="W69" s="348" t="s">
        <v>46</v>
      </c>
      <c r="X69" s="348">
        <f t="shared" si="0"/>
        <v>20</v>
      </c>
    </row>
    <row r="70" spans="1:24" ht="124.2" x14ac:dyDescent="0.3">
      <c r="A70" s="360" t="s">
        <v>186</v>
      </c>
      <c r="B70" s="360" t="s">
        <v>993</v>
      </c>
      <c r="C70" s="348">
        <v>0</v>
      </c>
      <c r="D70" s="348">
        <v>0</v>
      </c>
      <c r="E70" s="348">
        <v>0</v>
      </c>
      <c r="F70" s="348">
        <v>1</v>
      </c>
      <c r="G70" s="348">
        <v>0</v>
      </c>
      <c r="H70" s="348">
        <v>0</v>
      </c>
      <c r="I70" s="348">
        <v>0</v>
      </c>
      <c r="J70" s="348">
        <v>0</v>
      </c>
      <c r="K70" s="348"/>
      <c r="L70" s="348" t="s">
        <v>162</v>
      </c>
      <c r="M70" s="348" t="s">
        <v>983</v>
      </c>
      <c r="N70" s="348" t="s">
        <v>1246</v>
      </c>
      <c r="O70" s="348" t="s">
        <v>975</v>
      </c>
      <c r="P70" s="348" t="s">
        <v>214</v>
      </c>
      <c r="Q70" s="348" t="s">
        <v>215</v>
      </c>
      <c r="R70" s="348"/>
      <c r="S70" s="348" t="s">
        <v>1256</v>
      </c>
      <c r="T70" s="348" t="s">
        <v>1257</v>
      </c>
      <c r="U70" s="348" t="s">
        <v>40</v>
      </c>
      <c r="V70" s="348" t="s">
        <v>983</v>
      </c>
      <c r="W70" s="348" t="s">
        <v>46</v>
      </c>
      <c r="X70" s="348">
        <f t="shared" si="0"/>
        <v>20</v>
      </c>
    </row>
    <row r="71" spans="1:24" ht="207" x14ac:dyDescent="0.3">
      <c r="A71" s="348" t="s">
        <v>191</v>
      </c>
      <c r="B71" s="348" t="s">
        <v>167</v>
      </c>
      <c r="C71" s="348">
        <v>0</v>
      </c>
      <c r="D71" s="348">
        <v>0</v>
      </c>
      <c r="E71" s="348">
        <v>0</v>
      </c>
      <c r="F71" s="348">
        <v>1</v>
      </c>
      <c r="G71" s="348">
        <v>0</v>
      </c>
      <c r="H71" s="348">
        <v>0</v>
      </c>
      <c r="I71" s="348">
        <v>0</v>
      </c>
      <c r="J71" s="348">
        <v>1</v>
      </c>
      <c r="K71" s="348"/>
      <c r="L71" s="348" t="s">
        <v>162</v>
      </c>
      <c r="M71" s="348" t="s">
        <v>983</v>
      </c>
      <c r="N71" s="348" t="s">
        <v>1246</v>
      </c>
      <c r="O71" s="348" t="s">
        <v>168</v>
      </c>
      <c r="P71" s="348" t="s">
        <v>169</v>
      </c>
      <c r="Q71" s="348" t="s">
        <v>168</v>
      </c>
      <c r="R71" s="348"/>
      <c r="S71" s="348" t="s">
        <v>1258</v>
      </c>
      <c r="T71" s="348" t="s">
        <v>1259</v>
      </c>
      <c r="U71" s="348" t="s">
        <v>40</v>
      </c>
      <c r="V71" s="348" t="s">
        <v>983</v>
      </c>
      <c r="W71" s="348" t="s">
        <v>75</v>
      </c>
      <c r="X71" s="348">
        <f t="shared" si="0"/>
        <v>10</v>
      </c>
    </row>
    <row r="72" spans="1:24" ht="207" x14ac:dyDescent="0.3">
      <c r="A72" s="348" t="s">
        <v>195</v>
      </c>
      <c r="B72" s="348" t="s">
        <v>171</v>
      </c>
      <c r="C72" s="348">
        <v>0</v>
      </c>
      <c r="D72" s="348">
        <v>0</v>
      </c>
      <c r="E72" s="348">
        <v>0</v>
      </c>
      <c r="F72" s="348">
        <v>1</v>
      </c>
      <c r="G72" s="348">
        <v>0</v>
      </c>
      <c r="H72" s="348">
        <v>0</v>
      </c>
      <c r="I72" s="348">
        <v>0</v>
      </c>
      <c r="J72" s="348">
        <v>0</v>
      </c>
      <c r="K72" s="348"/>
      <c r="L72" s="348" t="s">
        <v>162</v>
      </c>
      <c r="M72" s="348" t="s">
        <v>983</v>
      </c>
      <c r="N72" s="348" t="s">
        <v>1246</v>
      </c>
      <c r="O72" s="348" t="s">
        <v>975</v>
      </c>
      <c r="P72" s="348" t="s">
        <v>172</v>
      </c>
      <c r="Q72" s="348" t="s">
        <v>173</v>
      </c>
      <c r="R72" s="348"/>
      <c r="S72" s="348" t="s">
        <v>174</v>
      </c>
      <c r="T72" s="348" t="s">
        <v>1214</v>
      </c>
      <c r="U72" s="348" t="s">
        <v>40</v>
      </c>
      <c r="V72" s="348" t="s">
        <v>983</v>
      </c>
      <c r="W72" s="348" t="s">
        <v>75</v>
      </c>
      <c r="X72" s="348">
        <f t="shared" si="0"/>
        <v>10</v>
      </c>
    </row>
    <row r="73" spans="1:24" ht="234.6" x14ac:dyDescent="0.3">
      <c r="A73" s="348" t="s">
        <v>198</v>
      </c>
      <c r="B73" s="348" t="s">
        <v>1865</v>
      </c>
      <c r="C73" s="348">
        <v>0</v>
      </c>
      <c r="D73" s="348">
        <v>0</v>
      </c>
      <c r="E73" s="348">
        <v>0</v>
      </c>
      <c r="F73" s="348">
        <v>1</v>
      </c>
      <c r="G73" s="348">
        <v>0</v>
      </c>
      <c r="H73" s="348">
        <v>0</v>
      </c>
      <c r="I73" s="348">
        <v>0</v>
      </c>
      <c r="J73" s="348">
        <v>0</v>
      </c>
      <c r="K73" s="348"/>
      <c r="L73" s="348" t="s">
        <v>162</v>
      </c>
      <c r="M73" s="348" t="s">
        <v>983</v>
      </c>
      <c r="N73" s="348" t="s">
        <v>1246</v>
      </c>
      <c r="O73" s="348" t="s">
        <v>179</v>
      </c>
      <c r="P73" s="348" t="s">
        <v>90</v>
      </c>
      <c r="Q73" s="348" t="s">
        <v>180</v>
      </c>
      <c r="R73" s="348"/>
      <c r="S73" s="348" t="s">
        <v>1260</v>
      </c>
      <c r="T73" s="348" t="s">
        <v>181</v>
      </c>
      <c r="U73" s="348" t="s">
        <v>40</v>
      </c>
      <c r="V73" s="348" t="s">
        <v>983</v>
      </c>
      <c r="W73" s="348" t="s">
        <v>75</v>
      </c>
      <c r="X73" s="348">
        <f t="shared" si="0"/>
        <v>10</v>
      </c>
    </row>
    <row r="74" spans="1:24" ht="165.6" x14ac:dyDescent="0.3">
      <c r="A74" s="348" t="s">
        <v>202</v>
      </c>
      <c r="B74" s="348" t="s">
        <v>203</v>
      </c>
      <c r="C74" s="348">
        <v>0</v>
      </c>
      <c r="D74" s="348">
        <v>0</v>
      </c>
      <c r="E74" s="348">
        <v>0</v>
      </c>
      <c r="F74" s="348">
        <v>1</v>
      </c>
      <c r="G74" s="348">
        <v>0</v>
      </c>
      <c r="H74" s="348">
        <v>0</v>
      </c>
      <c r="I74" s="348">
        <v>0</v>
      </c>
      <c r="J74" s="348">
        <v>0</v>
      </c>
      <c r="K74" s="348"/>
      <c r="L74" s="348" t="s">
        <v>162</v>
      </c>
      <c r="M74" s="348" t="s">
        <v>983</v>
      </c>
      <c r="N74" s="348" t="s">
        <v>1246</v>
      </c>
      <c r="O74" s="348" t="s">
        <v>975</v>
      </c>
      <c r="P74" s="348" t="s">
        <v>204</v>
      </c>
      <c r="Q74" s="348" t="s">
        <v>205</v>
      </c>
      <c r="R74" s="348"/>
      <c r="S74" s="348" t="s">
        <v>1261</v>
      </c>
      <c r="T74" s="348" t="s">
        <v>1262</v>
      </c>
      <c r="U74" s="348" t="s">
        <v>40</v>
      </c>
      <c r="V74" s="348" t="s">
        <v>983</v>
      </c>
      <c r="W74" s="348" t="s">
        <v>75</v>
      </c>
      <c r="X74" s="348">
        <f t="shared" si="0"/>
        <v>10</v>
      </c>
    </row>
    <row r="75" spans="1:24" ht="165.6" x14ac:dyDescent="0.3">
      <c r="A75" s="348" t="s">
        <v>206</v>
      </c>
      <c r="B75" s="348" t="s">
        <v>207</v>
      </c>
      <c r="C75" s="348">
        <v>0</v>
      </c>
      <c r="D75" s="348">
        <v>0</v>
      </c>
      <c r="E75" s="348">
        <v>0</v>
      </c>
      <c r="F75" s="348">
        <v>1</v>
      </c>
      <c r="G75" s="348">
        <v>0</v>
      </c>
      <c r="H75" s="348">
        <v>0</v>
      </c>
      <c r="I75" s="348">
        <v>0</v>
      </c>
      <c r="J75" s="348">
        <v>0</v>
      </c>
      <c r="K75" s="348"/>
      <c r="L75" s="348" t="s">
        <v>162</v>
      </c>
      <c r="M75" s="348" t="s">
        <v>983</v>
      </c>
      <c r="N75" s="348" t="s">
        <v>1246</v>
      </c>
      <c r="O75" s="348" t="s">
        <v>975</v>
      </c>
      <c r="P75" s="348" t="s">
        <v>208</v>
      </c>
      <c r="Q75" s="348" t="s">
        <v>209</v>
      </c>
      <c r="R75" s="348"/>
      <c r="S75" s="348" t="s">
        <v>1261</v>
      </c>
      <c r="T75" s="348" t="s">
        <v>1262</v>
      </c>
      <c r="U75" s="348" t="s">
        <v>40</v>
      </c>
      <c r="V75" s="348" t="s">
        <v>983</v>
      </c>
      <c r="W75" s="348" t="s">
        <v>75</v>
      </c>
      <c r="X75" s="348">
        <f t="shared" si="0"/>
        <v>10</v>
      </c>
    </row>
    <row r="76" spans="1:24" ht="110.4" x14ac:dyDescent="0.3">
      <c r="A76" s="348" t="s">
        <v>210</v>
      </c>
      <c r="B76" s="348" t="s">
        <v>187</v>
      </c>
      <c r="C76" s="348">
        <v>0</v>
      </c>
      <c r="D76" s="348">
        <v>0</v>
      </c>
      <c r="E76" s="348">
        <v>0</v>
      </c>
      <c r="F76" s="348">
        <v>1</v>
      </c>
      <c r="G76" s="348">
        <v>0</v>
      </c>
      <c r="H76" s="348">
        <v>0</v>
      </c>
      <c r="I76" s="348">
        <v>0</v>
      </c>
      <c r="J76" s="348">
        <v>0</v>
      </c>
      <c r="K76" s="348"/>
      <c r="L76" s="348" t="s">
        <v>162</v>
      </c>
      <c r="M76" s="348" t="s">
        <v>983</v>
      </c>
      <c r="N76" s="348" t="s">
        <v>1246</v>
      </c>
      <c r="O76" s="348" t="s">
        <v>188</v>
      </c>
      <c r="P76" s="348" t="s">
        <v>1873</v>
      </c>
      <c r="Q76" s="348" t="s">
        <v>189</v>
      </c>
      <c r="R76" s="348" t="s">
        <v>1528</v>
      </c>
      <c r="S76" s="348" t="s">
        <v>190</v>
      </c>
      <c r="T76" s="348" t="s">
        <v>1263</v>
      </c>
      <c r="U76" s="348" t="s">
        <v>40</v>
      </c>
      <c r="V76" s="348" t="s">
        <v>983</v>
      </c>
      <c r="W76" s="348" t="s">
        <v>41</v>
      </c>
      <c r="X76" s="348">
        <f t="shared" ref="X76:X139" si="1">IF($W76="Critical Importance",20,IF($W76="Minor Importance",5,10))</f>
        <v>5</v>
      </c>
    </row>
    <row r="77" spans="1:24" ht="165.6" x14ac:dyDescent="0.3">
      <c r="A77" s="348" t="s">
        <v>213</v>
      </c>
      <c r="B77" s="348" t="s">
        <v>199</v>
      </c>
      <c r="C77" s="348">
        <v>0</v>
      </c>
      <c r="D77" s="348">
        <v>0</v>
      </c>
      <c r="E77" s="348">
        <v>0</v>
      </c>
      <c r="F77" s="348">
        <v>1</v>
      </c>
      <c r="G77" s="348">
        <v>0</v>
      </c>
      <c r="H77" s="348">
        <v>0</v>
      </c>
      <c r="I77" s="348">
        <v>0</v>
      </c>
      <c r="J77" s="348">
        <v>0</v>
      </c>
      <c r="K77" s="348"/>
      <c r="L77" s="348" t="s">
        <v>162</v>
      </c>
      <c r="M77" s="348" t="s">
        <v>983</v>
      </c>
      <c r="N77" s="348" t="s">
        <v>1246</v>
      </c>
      <c r="O77" s="348" t="s">
        <v>975</v>
      </c>
      <c r="P77" s="348" t="s">
        <v>200</v>
      </c>
      <c r="Q77" s="348" t="s">
        <v>201</v>
      </c>
      <c r="R77" s="348"/>
      <c r="S77" s="348" t="s">
        <v>1874</v>
      </c>
      <c r="T77" s="348" t="s">
        <v>1264</v>
      </c>
      <c r="U77" s="348" t="s">
        <v>40</v>
      </c>
      <c r="V77" s="348" t="s">
        <v>983</v>
      </c>
      <c r="W77" s="348" t="s">
        <v>41</v>
      </c>
      <c r="X77" s="348">
        <f t="shared" si="1"/>
        <v>5</v>
      </c>
    </row>
    <row r="78" spans="1:24" ht="179.4" x14ac:dyDescent="0.3">
      <c r="A78" s="360" t="s">
        <v>216</v>
      </c>
      <c r="B78" s="360" t="s">
        <v>994</v>
      </c>
      <c r="C78" s="348">
        <v>0</v>
      </c>
      <c r="D78" s="348">
        <v>0</v>
      </c>
      <c r="E78" s="348">
        <v>1</v>
      </c>
      <c r="F78" s="348">
        <v>0</v>
      </c>
      <c r="G78" s="348">
        <v>0</v>
      </c>
      <c r="H78" s="348">
        <v>0</v>
      </c>
      <c r="I78" s="348">
        <v>0</v>
      </c>
      <c r="J78" s="348">
        <v>1</v>
      </c>
      <c r="K78" s="348"/>
      <c r="L78" s="348" t="s">
        <v>4</v>
      </c>
      <c r="M78" s="348" t="s">
        <v>983</v>
      </c>
      <c r="N78" s="348" t="s">
        <v>1246</v>
      </c>
      <c r="O78" s="348" t="s">
        <v>1076</v>
      </c>
      <c r="P78" s="348" t="s">
        <v>217</v>
      </c>
      <c r="Q78" s="348" t="s">
        <v>218</v>
      </c>
      <c r="R78" s="348"/>
      <c r="S78" s="348" t="s">
        <v>219</v>
      </c>
      <c r="T78" s="348" t="s">
        <v>220</v>
      </c>
      <c r="U78" s="348" t="s">
        <v>40</v>
      </c>
      <c r="V78" s="348" t="s">
        <v>983</v>
      </c>
      <c r="W78" s="348" t="s">
        <v>46</v>
      </c>
      <c r="X78" s="348">
        <f t="shared" si="1"/>
        <v>20</v>
      </c>
    </row>
    <row r="79" spans="1:24" ht="151.80000000000001" x14ac:dyDescent="0.3">
      <c r="A79" s="360" t="s">
        <v>221</v>
      </c>
      <c r="B79" s="360" t="s">
        <v>1532</v>
      </c>
      <c r="C79" s="348">
        <v>0</v>
      </c>
      <c r="D79" s="348">
        <v>0</v>
      </c>
      <c r="E79" s="348">
        <v>1</v>
      </c>
      <c r="F79" s="348">
        <v>0</v>
      </c>
      <c r="G79" s="348">
        <v>0</v>
      </c>
      <c r="H79" s="348">
        <v>0</v>
      </c>
      <c r="I79" s="348">
        <v>0</v>
      </c>
      <c r="J79" s="348">
        <v>1</v>
      </c>
      <c r="K79" s="348"/>
      <c r="L79" s="348" t="s">
        <v>4</v>
      </c>
      <c r="M79" s="348" t="s">
        <v>983</v>
      </c>
      <c r="N79" s="348" t="s">
        <v>1246</v>
      </c>
      <c r="O79" s="348" t="s">
        <v>975</v>
      </c>
      <c r="P79" s="348" t="s">
        <v>222</v>
      </c>
      <c r="Q79" s="348" t="s">
        <v>223</v>
      </c>
      <c r="R79" s="348"/>
      <c r="S79" s="348" t="s">
        <v>1539</v>
      </c>
      <c r="T79" s="348" t="s">
        <v>224</v>
      </c>
      <c r="U79" s="348" t="s">
        <v>40</v>
      </c>
      <c r="V79" s="348" t="s">
        <v>983</v>
      </c>
      <c r="W79" s="348" t="s">
        <v>46</v>
      </c>
      <c r="X79" s="348">
        <f t="shared" si="1"/>
        <v>20</v>
      </c>
    </row>
    <row r="80" spans="1:24" ht="151.80000000000001" x14ac:dyDescent="0.3">
      <c r="A80" s="360" t="s">
        <v>225</v>
      </c>
      <c r="B80" s="360" t="s">
        <v>1533</v>
      </c>
      <c r="C80" s="348">
        <v>0</v>
      </c>
      <c r="D80" s="348">
        <v>0</v>
      </c>
      <c r="E80" s="348">
        <v>1</v>
      </c>
      <c r="F80" s="348">
        <v>0</v>
      </c>
      <c r="G80" s="348">
        <v>0</v>
      </c>
      <c r="H80" s="348">
        <v>0</v>
      </c>
      <c r="I80" s="348">
        <v>0</v>
      </c>
      <c r="J80" s="348">
        <v>0</v>
      </c>
      <c r="K80" s="348"/>
      <c r="L80" s="348" t="s">
        <v>4</v>
      </c>
      <c r="M80" s="348" t="s">
        <v>983</v>
      </c>
      <c r="N80" s="348" t="s">
        <v>1246</v>
      </c>
      <c r="O80" s="348" t="s">
        <v>975</v>
      </c>
      <c r="P80" s="348" t="s">
        <v>227</v>
      </c>
      <c r="Q80" s="348" t="s">
        <v>228</v>
      </c>
      <c r="R80" s="348"/>
      <c r="S80" s="348" t="s">
        <v>1540</v>
      </c>
      <c r="T80" s="348" t="s">
        <v>229</v>
      </c>
      <c r="U80" s="348" t="s">
        <v>40</v>
      </c>
      <c r="V80" s="348" t="s">
        <v>983</v>
      </c>
      <c r="W80" s="348" t="s">
        <v>46</v>
      </c>
      <c r="X80" s="348">
        <f t="shared" si="1"/>
        <v>20</v>
      </c>
    </row>
    <row r="81" spans="1:24" ht="151.80000000000001" x14ac:dyDescent="0.3">
      <c r="A81" s="360" t="s">
        <v>226</v>
      </c>
      <c r="B81" s="360" t="s">
        <v>1534</v>
      </c>
      <c r="C81" s="348">
        <v>0</v>
      </c>
      <c r="D81" s="348">
        <v>0</v>
      </c>
      <c r="E81" s="348">
        <v>1</v>
      </c>
      <c r="F81" s="348">
        <v>0</v>
      </c>
      <c r="G81" s="348">
        <v>0</v>
      </c>
      <c r="H81" s="348">
        <v>0</v>
      </c>
      <c r="I81" s="348">
        <v>0</v>
      </c>
      <c r="J81" s="348">
        <v>0</v>
      </c>
      <c r="K81" s="348"/>
      <c r="L81" s="348" t="s">
        <v>4</v>
      </c>
      <c r="M81" s="348" t="s">
        <v>983</v>
      </c>
      <c r="N81" s="348" t="s">
        <v>1246</v>
      </c>
      <c r="O81" s="348" t="s">
        <v>1875</v>
      </c>
      <c r="P81" s="348" t="s">
        <v>975</v>
      </c>
      <c r="Q81" s="348" t="s">
        <v>231</v>
      </c>
      <c r="R81" s="348"/>
      <c r="S81" s="348" t="s">
        <v>1540</v>
      </c>
      <c r="T81" s="348" t="s">
        <v>232</v>
      </c>
      <c r="U81" s="348" t="s">
        <v>148</v>
      </c>
      <c r="V81" s="348" t="s">
        <v>983</v>
      </c>
      <c r="W81" s="348" t="s">
        <v>46</v>
      </c>
      <c r="X81" s="348">
        <f t="shared" si="1"/>
        <v>20</v>
      </c>
    </row>
    <row r="82" spans="1:24" ht="165.6" x14ac:dyDescent="0.3">
      <c r="A82" s="360" t="s">
        <v>230</v>
      </c>
      <c r="B82" s="360" t="s">
        <v>1535</v>
      </c>
      <c r="C82" s="348">
        <v>0</v>
      </c>
      <c r="D82" s="348">
        <v>0</v>
      </c>
      <c r="E82" s="348">
        <v>1</v>
      </c>
      <c r="F82" s="348">
        <v>0</v>
      </c>
      <c r="G82" s="348">
        <v>0</v>
      </c>
      <c r="H82" s="348">
        <v>0</v>
      </c>
      <c r="I82" s="348">
        <v>0</v>
      </c>
      <c r="J82" s="348">
        <v>0</v>
      </c>
      <c r="K82" s="348"/>
      <c r="L82" s="348" t="s">
        <v>4</v>
      </c>
      <c r="M82" s="348" t="s">
        <v>983</v>
      </c>
      <c r="N82" s="348" t="s">
        <v>1246</v>
      </c>
      <c r="O82" s="348" t="s">
        <v>975</v>
      </c>
      <c r="P82" s="348" t="s">
        <v>234</v>
      </c>
      <c r="Q82" s="348" t="s">
        <v>235</v>
      </c>
      <c r="R82" s="348"/>
      <c r="S82" s="348" t="s">
        <v>1541</v>
      </c>
      <c r="T82" s="348" t="s">
        <v>1265</v>
      </c>
      <c r="U82" s="348" t="s">
        <v>40</v>
      </c>
      <c r="V82" s="348" t="s">
        <v>983</v>
      </c>
      <c r="W82" s="348" t="s">
        <v>46</v>
      </c>
      <c r="X82" s="348">
        <f t="shared" si="1"/>
        <v>20</v>
      </c>
    </row>
    <row r="83" spans="1:24" ht="138" x14ac:dyDescent="0.3">
      <c r="A83" s="360" t="s">
        <v>233</v>
      </c>
      <c r="B83" s="360" t="s">
        <v>995</v>
      </c>
      <c r="C83" s="348">
        <v>0</v>
      </c>
      <c r="D83" s="348">
        <v>0</v>
      </c>
      <c r="E83" s="348">
        <v>1</v>
      </c>
      <c r="F83" s="348">
        <v>0</v>
      </c>
      <c r="G83" s="348">
        <v>0</v>
      </c>
      <c r="H83" s="348">
        <v>0</v>
      </c>
      <c r="I83" s="348">
        <v>0</v>
      </c>
      <c r="J83" s="348">
        <v>0</v>
      </c>
      <c r="K83" s="348"/>
      <c r="L83" s="348" t="s">
        <v>4</v>
      </c>
      <c r="M83" s="348" t="s">
        <v>983</v>
      </c>
      <c r="N83" s="348" t="s">
        <v>1246</v>
      </c>
      <c r="O83" s="348" t="s">
        <v>975</v>
      </c>
      <c r="P83" s="348" t="s">
        <v>237</v>
      </c>
      <c r="Q83" s="348" t="s">
        <v>238</v>
      </c>
      <c r="R83" s="348"/>
      <c r="S83" s="348" t="s">
        <v>1266</v>
      </c>
      <c r="T83" s="348" t="s">
        <v>1267</v>
      </c>
      <c r="U83" s="348" t="s">
        <v>40</v>
      </c>
      <c r="V83" s="348" t="s">
        <v>983</v>
      </c>
      <c r="W83" s="348" t="s">
        <v>46</v>
      </c>
      <c r="X83" s="348">
        <f t="shared" si="1"/>
        <v>20</v>
      </c>
    </row>
    <row r="84" spans="1:24" ht="151.80000000000001" x14ac:dyDescent="0.3">
      <c r="A84" s="360" t="s">
        <v>236</v>
      </c>
      <c r="B84" s="360" t="s">
        <v>1177</v>
      </c>
      <c r="C84" s="348">
        <v>0</v>
      </c>
      <c r="D84" s="348">
        <v>0</v>
      </c>
      <c r="E84" s="348">
        <v>1</v>
      </c>
      <c r="F84" s="348">
        <v>0</v>
      </c>
      <c r="G84" s="348">
        <v>0</v>
      </c>
      <c r="H84" s="348">
        <v>0</v>
      </c>
      <c r="I84" s="348">
        <v>0</v>
      </c>
      <c r="J84" s="348">
        <v>0</v>
      </c>
      <c r="K84" s="348"/>
      <c r="L84" s="348" t="s">
        <v>4</v>
      </c>
      <c r="M84" s="348" t="s">
        <v>983</v>
      </c>
      <c r="N84" s="348" t="s">
        <v>1246</v>
      </c>
      <c r="O84" s="348" t="s">
        <v>975</v>
      </c>
      <c r="P84" s="348" t="s">
        <v>975</v>
      </c>
      <c r="Q84" s="348" t="s">
        <v>1178</v>
      </c>
      <c r="R84" s="348"/>
      <c r="S84" s="348" t="s">
        <v>1268</v>
      </c>
      <c r="T84" s="348" t="s">
        <v>1269</v>
      </c>
      <c r="U84" s="348" t="s">
        <v>148</v>
      </c>
      <c r="V84" s="348" t="s">
        <v>983</v>
      </c>
      <c r="W84" s="348" t="s">
        <v>46</v>
      </c>
      <c r="X84" s="348">
        <f t="shared" si="1"/>
        <v>20</v>
      </c>
    </row>
    <row r="85" spans="1:24" ht="69" x14ac:dyDescent="0.3">
      <c r="A85" s="360" t="s">
        <v>239</v>
      </c>
      <c r="B85" s="360" t="s">
        <v>996</v>
      </c>
      <c r="C85" s="348">
        <v>0</v>
      </c>
      <c r="D85" s="348">
        <v>0</v>
      </c>
      <c r="E85" s="348">
        <v>1</v>
      </c>
      <c r="F85" s="348">
        <v>0</v>
      </c>
      <c r="G85" s="348">
        <v>0</v>
      </c>
      <c r="H85" s="348">
        <v>0</v>
      </c>
      <c r="I85" s="348">
        <v>0</v>
      </c>
      <c r="J85" s="348">
        <v>0</v>
      </c>
      <c r="K85" s="348"/>
      <c r="L85" s="348" t="s">
        <v>4</v>
      </c>
      <c r="M85" s="348" t="s">
        <v>983</v>
      </c>
      <c r="N85" s="348" t="s">
        <v>1246</v>
      </c>
      <c r="O85" s="348" t="s">
        <v>975</v>
      </c>
      <c r="P85" s="348" t="s">
        <v>975</v>
      </c>
      <c r="Q85" s="348" t="s">
        <v>262</v>
      </c>
      <c r="R85" s="348"/>
      <c r="S85" s="348" t="s">
        <v>263</v>
      </c>
      <c r="T85" s="348" t="s">
        <v>264</v>
      </c>
      <c r="U85" s="348" t="s">
        <v>148</v>
      </c>
      <c r="V85" s="348" t="s">
        <v>983</v>
      </c>
      <c r="W85" s="348" t="s">
        <v>46</v>
      </c>
      <c r="X85" s="348">
        <f t="shared" si="1"/>
        <v>20</v>
      </c>
    </row>
    <row r="86" spans="1:24" ht="179.4" x14ac:dyDescent="0.3">
      <c r="A86" s="360" t="s">
        <v>242</v>
      </c>
      <c r="B86" s="360" t="s">
        <v>997</v>
      </c>
      <c r="C86" s="348">
        <v>0</v>
      </c>
      <c r="D86" s="348">
        <v>0</v>
      </c>
      <c r="E86" s="348">
        <v>1</v>
      </c>
      <c r="F86" s="348">
        <v>0</v>
      </c>
      <c r="G86" s="348">
        <v>0</v>
      </c>
      <c r="H86" s="348">
        <v>0</v>
      </c>
      <c r="I86" s="348">
        <v>0</v>
      </c>
      <c r="J86" s="348">
        <v>1</v>
      </c>
      <c r="K86" s="348"/>
      <c r="L86" s="348" t="s">
        <v>4</v>
      </c>
      <c r="M86" s="348" t="s">
        <v>983</v>
      </c>
      <c r="N86" s="348" t="s">
        <v>1246</v>
      </c>
      <c r="O86" s="348" t="s">
        <v>975</v>
      </c>
      <c r="P86" s="348" t="s">
        <v>269</v>
      </c>
      <c r="Q86" s="348" t="s">
        <v>975</v>
      </c>
      <c r="R86" s="348"/>
      <c r="S86" s="348" t="s">
        <v>270</v>
      </c>
      <c r="T86" s="348" t="s">
        <v>1270</v>
      </c>
      <c r="U86" s="348" t="s">
        <v>40</v>
      </c>
      <c r="V86" s="348" t="s">
        <v>983</v>
      </c>
      <c r="W86" s="348" t="s">
        <v>46</v>
      </c>
      <c r="X86" s="348">
        <f t="shared" si="1"/>
        <v>20</v>
      </c>
    </row>
    <row r="87" spans="1:24" ht="220.8" x14ac:dyDescent="0.3">
      <c r="A87" s="360" t="s">
        <v>245</v>
      </c>
      <c r="B87" s="360" t="s">
        <v>1077</v>
      </c>
      <c r="C87" s="348">
        <v>0</v>
      </c>
      <c r="D87" s="348">
        <v>0</v>
      </c>
      <c r="E87" s="348">
        <v>1</v>
      </c>
      <c r="F87" s="348">
        <v>0</v>
      </c>
      <c r="G87" s="348">
        <v>0</v>
      </c>
      <c r="H87" s="348">
        <v>0</v>
      </c>
      <c r="I87" s="348">
        <v>0</v>
      </c>
      <c r="J87" s="348">
        <v>0</v>
      </c>
      <c r="K87" s="348"/>
      <c r="L87" s="348" t="s">
        <v>1004</v>
      </c>
      <c r="M87" s="348" t="s">
        <v>983</v>
      </c>
      <c r="N87" s="348" t="s">
        <v>1246</v>
      </c>
      <c r="O87" s="348" t="s">
        <v>1428</v>
      </c>
      <c r="P87" s="348" t="s">
        <v>1428</v>
      </c>
      <c r="Q87" s="348" t="s">
        <v>1428</v>
      </c>
      <c r="R87" s="348"/>
      <c r="S87" s="348" t="s">
        <v>272</v>
      </c>
      <c r="T87" s="348" t="s">
        <v>1270</v>
      </c>
      <c r="U87" s="348" t="s">
        <v>1004</v>
      </c>
      <c r="V87" s="348" t="s">
        <v>983</v>
      </c>
      <c r="W87" s="348"/>
      <c r="X87" s="348"/>
    </row>
    <row r="88" spans="1:24" ht="193.2" x14ac:dyDescent="0.3">
      <c r="A88" s="360" t="s">
        <v>249</v>
      </c>
      <c r="B88" s="360" t="s">
        <v>1427</v>
      </c>
      <c r="C88" s="348">
        <v>0</v>
      </c>
      <c r="D88" s="348">
        <v>0</v>
      </c>
      <c r="E88" s="348">
        <v>1</v>
      </c>
      <c r="F88" s="348">
        <v>0</v>
      </c>
      <c r="G88" s="348">
        <v>0</v>
      </c>
      <c r="H88" s="348">
        <v>0</v>
      </c>
      <c r="I88" s="348">
        <v>0</v>
      </c>
      <c r="J88" s="348">
        <v>1</v>
      </c>
      <c r="K88" s="348"/>
      <c r="L88" s="348" t="s">
        <v>4</v>
      </c>
      <c r="M88" s="348" t="s">
        <v>983</v>
      </c>
      <c r="N88" s="348" t="s">
        <v>1246</v>
      </c>
      <c r="O88" s="348" t="s">
        <v>1473</v>
      </c>
      <c r="P88" s="348" t="s">
        <v>1473</v>
      </c>
      <c r="Q88" s="348" t="s">
        <v>1473</v>
      </c>
      <c r="R88" s="348"/>
      <c r="S88" s="348" t="s">
        <v>1271</v>
      </c>
      <c r="T88" s="348" t="s">
        <v>273</v>
      </c>
      <c r="U88" s="348" t="s">
        <v>40</v>
      </c>
      <c r="V88" s="348" t="s">
        <v>983</v>
      </c>
      <c r="W88" s="348" t="s">
        <v>46</v>
      </c>
      <c r="X88" s="348">
        <f t="shared" si="1"/>
        <v>20</v>
      </c>
    </row>
    <row r="89" spans="1:24" ht="234.6" x14ac:dyDescent="0.3">
      <c r="A89" s="348" t="s">
        <v>253</v>
      </c>
      <c r="B89" s="348" t="s">
        <v>1536</v>
      </c>
      <c r="C89" s="348">
        <v>0</v>
      </c>
      <c r="D89" s="348">
        <v>0</v>
      </c>
      <c r="E89" s="348">
        <v>1</v>
      </c>
      <c r="F89" s="348">
        <v>0</v>
      </c>
      <c r="G89" s="348">
        <v>0</v>
      </c>
      <c r="H89" s="348">
        <v>0</v>
      </c>
      <c r="I89" s="348">
        <v>0</v>
      </c>
      <c r="J89" s="348">
        <v>0</v>
      </c>
      <c r="K89" s="348"/>
      <c r="L89" s="348" t="s">
        <v>4</v>
      </c>
      <c r="M89" s="348" t="s">
        <v>983</v>
      </c>
      <c r="N89" s="348" t="s">
        <v>1246</v>
      </c>
      <c r="O89" s="348" t="s">
        <v>975</v>
      </c>
      <c r="P89" s="348" t="s">
        <v>240</v>
      </c>
      <c r="Q89" s="348" t="s">
        <v>241</v>
      </c>
      <c r="R89" s="348"/>
      <c r="S89" s="348" t="s">
        <v>1542</v>
      </c>
      <c r="T89" s="348" t="s">
        <v>1272</v>
      </c>
      <c r="U89" s="348" t="s">
        <v>40</v>
      </c>
      <c r="V89" s="348" t="s">
        <v>983</v>
      </c>
      <c r="W89" s="348" t="s">
        <v>75</v>
      </c>
      <c r="X89" s="348">
        <f t="shared" si="1"/>
        <v>10</v>
      </c>
    </row>
    <row r="90" spans="1:24" ht="124.2" x14ac:dyDescent="0.3">
      <c r="A90" s="348" t="s">
        <v>255</v>
      </c>
      <c r="B90" s="348" t="s">
        <v>250</v>
      </c>
      <c r="C90" s="348">
        <v>0</v>
      </c>
      <c r="D90" s="348">
        <v>0</v>
      </c>
      <c r="E90" s="348">
        <v>1</v>
      </c>
      <c r="F90" s="348">
        <v>0</v>
      </c>
      <c r="G90" s="348">
        <v>0</v>
      </c>
      <c r="H90" s="348">
        <v>0</v>
      </c>
      <c r="I90" s="348">
        <v>0</v>
      </c>
      <c r="J90" s="348">
        <v>0</v>
      </c>
      <c r="K90" s="348"/>
      <c r="L90" s="348" t="s">
        <v>4</v>
      </c>
      <c r="M90" s="348" t="s">
        <v>983</v>
      </c>
      <c r="N90" s="348" t="s">
        <v>1246</v>
      </c>
      <c r="O90" s="348" t="s">
        <v>975</v>
      </c>
      <c r="P90" s="348" t="s">
        <v>251</v>
      </c>
      <c r="Q90" s="348" t="s">
        <v>975</v>
      </c>
      <c r="R90" s="348"/>
      <c r="S90" s="348" t="s">
        <v>1273</v>
      </c>
      <c r="T90" s="348" t="s">
        <v>252</v>
      </c>
      <c r="U90" s="348" t="s">
        <v>40</v>
      </c>
      <c r="V90" s="348" t="s">
        <v>983</v>
      </c>
      <c r="W90" s="348" t="s">
        <v>75</v>
      </c>
      <c r="X90" s="348">
        <f t="shared" si="1"/>
        <v>10</v>
      </c>
    </row>
    <row r="91" spans="1:24" ht="207" x14ac:dyDescent="0.3">
      <c r="A91" s="348" t="s">
        <v>260</v>
      </c>
      <c r="B91" s="348" t="s">
        <v>1537</v>
      </c>
      <c r="C91" s="348">
        <v>0</v>
      </c>
      <c r="D91" s="348">
        <v>0</v>
      </c>
      <c r="E91" s="348">
        <v>1</v>
      </c>
      <c r="F91" s="348">
        <v>0</v>
      </c>
      <c r="G91" s="348">
        <v>0</v>
      </c>
      <c r="H91" s="348">
        <v>0</v>
      </c>
      <c r="I91" s="348">
        <v>0</v>
      </c>
      <c r="J91" s="348">
        <v>0</v>
      </c>
      <c r="K91" s="348"/>
      <c r="L91" s="348" t="s">
        <v>4</v>
      </c>
      <c r="M91" s="348" t="s">
        <v>983</v>
      </c>
      <c r="N91" s="348" t="s">
        <v>1246</v>
      </c>
      <c r="O91" s="348" t="s">
        <v>975</v>
      </c>
      <c r="P91" s="348" t="s">
        <v>266</v>
      </c>
      <c r="Q91" s="348" t="s">
        <v>267</v>
      </c>
      <c r="R91" s="348"/>
      <c r="S91" s="348" t="s">
        <v>1543</v>
      </c>
      <c r="T91" s="348" t="s">
        <v>1078</v>
      </c>
      <c r="U91" s="348" t="s">
        <v>40</v>
      </c>
      <c r="V91" s="348" t="s">
        <v>983</v>
      </c>
      <c r="W91" s="348" t="s">
        <v>75</v>
      </c>
      <c r="X91" s="348">
        <f t="shared" si="1"/>
        <v>10</v>
      </c>
    </row>
    <row r="92" spans="1:24" ht="179.4" x14ac:dyDescent="0.3">
      <c r="A92" s="348" t="s">
        <v>261</v>
      </c>
      <c r="B92" s="348" t="s">
        <v>1079</v>
      </c>
      <c r="C92" s="348">
        <v>0</v>
      </c>
      <c r="D92" s="348">
        <v>0</v>
      </c>
      <c r="E92" s="348">
        <v>1</v>
      </c>
      <c r="F92" s="348">
        <v>0</v>
      </c>
      <c r="G92" s="348">
        <v>0</v>
      </c>
      <c r="H92" s="348">
        <v>0</v>
      </c>
      <c r="I92" s="348">
        <v>0</v>
      </c>
      <c r="J92" s="348">
        <v>0</v>
      </c>
      <c r="K92" s="348"/>
      <c r="L92" s="348" t="s">
        <v>4</v>
      </c>
      <c r="M92" s="348" t="s">
        <v>983</v>
      </c>
      <c r="N92" s="348" t="s">
        <v>1246</v>
      </c>
      <c r="O92" s="348" t="s">
        <v>1080</v>
      </c>
      <c r="P92" s="348" t="s">
        <v>243</v>
      </c>
      <c r="Q92" s="348" t="s">
        <v>244</v>
      </c>
      <c r="R92" s="348"/>
      <c r="S92" s="348" t="s">
        <v>219</v>
      </c>
      <c r="T92" s="348" t="s">
        <v>220</v>
      </c>
      <c r="U92" s="348" t="s">
        <v>40</v>
      </c>
      <c r="V92" s="348" t="s">
        <v>983</v>
      </c>
      <c r="W92" s="348" t="s">
        <v>41</v>
      </c>
      <c r="X92" s="348">
        <f t="shared" si="1"/>
        <v>5</v>
      </c>
    </row>
    <row r="93" spans="1:24" ht="124.2" x14ac:dyDescent="0.3">
      <c r="A93" s="348" t="s">
        <v>265</v>
      </c>
      <c r="B93" s="348" t="s">
        <v>246</v>
      </c>
      <c r="C93" s="348">
        <v>0</v>
      </c>
      <c r="D93" s="348">
        <v>0</v>
      </c>
      <c r="E93" s="348">
        <v>1</v>
      </c>
      <c r="F93" s="348">
        <v>0</v>
      </c>
      <c r="G93" s="348">
        <v>0</v>
      </c>
      <c r="H93" s="348">
        <v>0</v>
      </c>
      <c r="I93" s="348">
        <v>0</v>
      </c>
      <c r="J93" s="348">
        <v>0</v>
      </c>
      <c r="K93" s="348"/>
      <c r="L93" s="348" t="s">
        <v>4</v>
      </c>
      <c r="M93" s="348" t="s">
        <v>983</v>
      </c>
      <c r="N93" s="348" t="s">
        <v>1246</v>
      </c>
      <c r="O93" s="348" t="s">
        <v>975</v>
      </c>
      <c r="P93" s="348" t="s">
        <v>247</v>
      </c>
      <c r="Q93" s="348" t="s">
        <v>975</v>
      </c>
      <c r="R93" s="348"/>
      <c r="S93" s="348" t="s">
        <v>1273</v>
      </c>
      <c r="T93" s="348" t="s">
        <v>248</v>
      </c>
      <c r="U93" s="348" t="s">
        <v>40</v>
      </c>
      <c r="V93" s="348" t="s">
        <v>983</v>
      </c>
      <c r="W93" s="348" t="s">
        <v>41</v>
      </c>
      <c r="X93" s="348">
        <f t="shared" si="1"/>
        <v>5</v>
      </c>
    </row>
    <row r="94" spans="1:24" ht="165.6" x14ac:dyDescent="0.3">
      <c r="A94" s="348" t="s">
        <v>268</v>
      </c>
      <c r="B94" s="348" t="s">
        <v>1538</v>
      </c>
      <c r="C94" s="348">
        <v>0</v>
      </c>
      <c r="D94" s="348">
        <v>0</v>
      </c>
      <c r="E94" s="348">
        <v>1</v>
      </c>
      <c r="F94" s="348">
        <v>0</v>
      </c>
      <c r="G94" s="348">
        <v>0</v>
      </c>
      <c r="H94" s="348">
        <v>0</v>
      </c>
      <c r="I94" s="348">
        <v>0</v>
      </c>
      <c r="J94" s="348">
        <v>1</v>
      </c>
      <c r="K94" s="348"/>
      <c r="L94" s="348" t="s">
        <v>4</v>
      </c>
      <c r="M94" s="348" t="s">
        <v>983</v>
      </c>
      <c r="N94" s="348" t="s">
        <v>1246</v>
      </c>
      <c r="O94" s="348" t="s">
        <v>975</v>
      </c>
      <c r="P94" s="348" t="s">
        <v>1081</v>
      </c>
      <c r="Q94" s="348" t="s">
        <v>1179</v>
      </c>
      <c r="R94" s="348"/>
      <c r="S94" s="348" t="s">
        <v>1544</v>
      </c>
      <c r="T94" s="348" t="s">
        <v>1274</v>
      </c>
      <c r="U94" s="348" t="s">
        <v>40</v>
      </c>
      <c r="V94" s="348" t="s">
        <v>983</v>
      </c>
      <c r="W94" s="348" t="s">
        <v>41</v>
      </c>
      <c r="X94" s="348">
        <f t="shared" si="1"/>
        <v>5</v>
      </c>
    </row>
    <row r="95" spans="1:24" ht="55.2" x14ac:dyDescent="0.3">
      <c r="A95" s="348" t="s">
        <v>271</v>
      </c>
      <c r="B95" s="348" t="s">
        <v>1082</v>
      </c>
      <c r="C95" s="348">
        <v>0</v>
      </c>
      <c r="D95" s="348">
        <v>0</v>
      </c>
      <c r="E95" s="348">
        <v>1</v>
      </c>
      <c r="F95" s="348">
        <v>0</v>
      </c>
      <c r="G95" s="348">
        <v>0</v>
      </c>
      <c r="H95" s="348">
        <v>0</v>
      </c>
      <c r="I95" s="348">
        <v>0</v>
      </c>
      <c r="J95" s="348">
        <v>1</v>
      </c>
      <c r="K95" s="348"/>
      <c r="L95" s="348" t="s">
        <v>4</v>
      </c>
      <c r="M95" s="348" t="s">
        <v>983</v>
      </c>
      <c r="N95" s="348" t="s">
        <v>1246</v>
      </c>
      <c r="O95" s="348" t="s">
        <v>975</v>
      </c>
      <c r="P95" s="348" t="s">
        <v>256</v>
      </c>
      <c r="Q95" s="348" t="s">
        <v>257</v>
      </c>
      <c r="R95" s="348"/>
      <c r="S95" s="348" t="s">
        <v>258</v>
      </c>
      <c r="T95" s="348" t="s">
        <v>259</v>
      </c>
      <c r="U95" s="348" t="s">
        <v>40</v>
      </c>
      <c r="V95" s="348" t="s">
        <v>983</v>
      </c>
      <c r="W95" s="348" t="s">
        <v>41</v>
      </c>
      <c r="X95" s="348">
        <f t="shared" si="1"/>
        <v>5</v>
      </c>
    </row>
    <row r="96" spans="1:24" ht="124.2" x14ac:dyDescent="0.3">
      <c r="A96" s="361" t="s">
        <v>274</v>
      </c>
      <c r="B96" s="360" t="s">
        <v>998</v>
      </c>
      <c r="C96" s="348">
        <v>0</v>
      </c>
      <c r="D96" s="348">
        <v>1</v>
      </c>
      <c r="E96" s="348">
        <v>0</v>
      </c>
      <c r="F96" s="348">
        <v>0</v>
      </c>
      <c r="G96" s="348">
        <v>0</v>
      </c>
      <c r="H96" s="348">
        <v>0</v>
      </c>
      <c r="I96" s="348">
        <v>0</v>
      </c>
      <c r="J96" s="348">
        <v>0</v>
      </c>
      <c r="K96" s="348"/>
      <c r="L96" s="348" t="s">
        <v>131</v>
      </c>
      <c r="M96" s="348" t="s">
        <v>983</v>
      </c>
      <c r="N96" s="348" t="s">
        <v>975</v>
      </c>
      <c r="O96" s="348" t="s">
        <v>975</v>
      </c>
      <c r="P96" s="348" t="s">
        <v>282</v>
      </c>
      <c r="Q96" s="348" t="s">
        <v>283</v>
      </c>
      <c r="R96" s="348"/>
      <c r="S96" s="348" t="s">
        <v>284</v>
      </c>
      <c r="T96" s="348" t="s">
        <v>1275</v>
      </c>
      <c r="U96" s="348" t="s">
        <v>40</v>
      </c>
      <c r="V96" s="348" t="s">
        <v>983</v>
      </c>
      <c r="W96" s="348" t="s">
        <v>46</v>
      </c>
      <c r="X96" s="348">
        <f t="shared" si="1"/>
        <v>20</v>
      </c>
    </row>
    <row r="97" spans="1:24" ht="151.80000000000001" x14ac:dyDescent="0.3">
      <c r="A97" s="361" t="s">
        <v>279</v>
      </c>
      <c r="B97" s="360" t="s">
        <v>999</v>
      </c>
      <c r="C97" s="348">
        <v>0</v>
      </c>
      <c r="D97" s="348">
        <v>1</v>
      </c>
      <c r="E97" s="348">
        <v>0</v>
      </c>
      <c r="F97" s="348">
        <v>0</v>
      </c>
      <c r="G97" s="348">
        <v>0</v>
      </c>
      <c r="H97" s="348">
        <v>0</v>
      </c>
      <c r="I97" s="348">
        <v>0</v>
      </c>
      <c r="J97" s="348">
        <v>0</v>
      </c>
      <c r="K97" s="348"/>
      <c r="L97" s="348" t="s">
        <v>131</v>
      </c>
      <c r="M97" s="348" t="s">
        <v>983</v>
      </c>
      <c r="N97" s="348" t="s">
        <v>975</v>
      </c>
      <c r="O97" s="348" t="s">
        <v>293</v>
      </c>
      <c r="P97" s="348" t="s">
        <v>294</v>
      </c>
      <c r="Q97" s="348" t="s">
        <v>295</v>
      </c>
      <c r="R97" s="356" t="s">
        <v>1567</v>
      </c>
      <c r="S97" s="348" t="s">
        <v>1276</v>
      </c>
      <c r="T97" s="348" t="s">
        <v>1277</v>
      </c>
      <c r="U97" s="348" t="s">
        <v>40</v>
      </c>
      <c r="V97" s="348" t="s">
        <v>983</v>
      </c>
      <c r="W97" s="348" t="s">
        <v>46</v>
      </c>
      <c r="X97" s="348">
        <f t="shared" si="1"/>
        <v>20</v>
      </c>
    </row>
    <row r="98" spans="1:24" ht="193.2" x14ac:dyDescent="0.3">
      <c r="A98" s="361" t="s">
        <v>280</v>
      </c>
      <c r="B98" s="360" t="s">
        <v>1866</v>
      </c>
      <c r="C98" s="348">
        <v>0</v>
      </c>
      <c r="D98" s="348">
        <v>1</v>
      </c>
      <c r="E98" s="348">
        <v>0</v>
      </c>
      <c r="F98" s="348">
        <v>0</v>
      </c>
      <c r="G98" s="348">
        <v>0</v>
      </c>
      <c r="H98" s="348">
        <v>0</v>
      </c>
      <c r="I98" s="348">
        <v>0</v>
      </c>
      <c r="J98" s="348">
        <v>0</v>
      </c>
      <c r="K98" s="348"/>
      <c r="L98" s="348" t="s">
        <v>131</v>
      </c>
      <c r="M98" s="348" t="s">
        <v>983</v>
      </c>
      <c r="N98" s="348" t="s">
        <v>975</v>
      </c>
      <c r="O98" s="348" t="s">
        <v>975</v>
      </c>
      <c r="P98" s="348" t="s">
        <v>320</v>
      </c>
      <c r="Q98" s="348" t="s">
        <v>1876</v>
      </c>
      <c r="R98" s="356" t="s">
        <v>1567</v>
      </c>
      <c r="S98" s="348" t="s">
        <v>1278</v>
      </c>
      <c r="T98" s="348" t="s">
        <v>1393</v>
      </c>
      <c r="U98" s="348" t="s">
        <v>40</v>
      </c>
      <c r="V98" s="348" t="s">
        <v>983</v>
      </c>
      <c r="W98" s="348" t="s">
        <v>46</v>
      </c>
      <c r="X98" s="348">
        <f t="shared" si="1"/>
        <v>20</v>
      </c>
    </row>
    <row r="99" spans="1:24" ht="124.2" x14ac:dyDescent="0.3">
      <c r="A99" s="225" t="s">
        <v>281</v>
      </c>
      <c r="B99" s="348" t="s">
        <v>275</v>
      </c>
      <c r="C99" s="348">
        <v>0</v>
      </c>
      <c r="D99" s="348">
        <v>1</v>
      </c>
      <c r="E99" s="348">
        <v>0</v>
      </c>
      <c r="F99" s="348">
        <v>0</v>
      </c>
      <c r="G99" s="348">
        <v>0</v>
      </c>
      <c r="H99" s="348">
        <v>0</v>
      </c>
      <c r="I99" s="348">
        <v>0</v>
      </c>
      <c r="J99" s="348">
        <v>1</v>
      </c>
      <c r="K99" s="348"/>
      <c r="L99" s="348" t="s">
        <v>131</v>
      </c>
      <c r="M99" s="348" t="s">
        <v>72</v>
      </c>
      <c r="N99" s="348" t="s">
        <v>975</v>
      </c>
      <c r="O99" s="348" t="s">
        <v>975</v>
      </c>
      <c r="P99" s="348" t="s">
        <v>90</v>
      </c>
      <c r="Q99" s="348" t="s">
        <v>276</v>
      </c>
      <c r="R99" s="348"/>
      <c r="S99" s="348" t="s">
        <v>277</v>
      </c>
      <c r="T99" s="348" t="s">
        <v>278</v>
      </c>
      <c r="U99" s="348" t="s">
        <v>40</v>
      </c>
      <c r="V99" s="348" t="s">
        <v>983</v>
      </c>
      <c r="W99" s="348" t="s">
        <v>75</v>
      </c>
      <c r="X99" s="348">
        <f t="shared" si="1"/>
        <v>10</v>
      </c>
    </row>
    <row r="100" spans="1:24" ht="232.5" customHeight="1" x14ac:dyDescent="0.3">
      <c r="A100" s="225" t="s">
        <v>285</v>
      </c>
      <c r="B100" s="348" t="s">
        <v>1083</v>
      </c>
      <c r="C100" s="348">
        <v>0</v>
      </c>
      <c r="D100" s="348">
        <v>1</v>
      </c>
      <c r="E100" s="348">
        <v>0</v>
      </c>
      <c r="F100" s="348">
        <v>0</v>
      </c>
      <c r="G100" s="348">
        <v>0</v>
      </c>
      <c r="H100" s="348">
        <v>0</v>
      </c>
      <c r="I100" s="348">
        <v>0</v>
      </c>
      <c r="J100" s="348">
        <v>1</v>
      </c>
      <c r="K100" s="348"/>
      <c r="L100" s="348" t="s">
        <v>131</v>
      </c>
      <c r="M100" s="348" t="s">
        <v>983</v>
      </c>
      <c r="N100" s="348" t="s">
        <v>975</v>
      </c>
      <c r="O100" s="348" t="s">
        <v>975</v>
      </c>
      <c r="P100" s="348" t="s">
        <v>1084</v>
      </c>
      <c r="Q100" s="348" t="s">
        <v>1429</v>
      </c>
      <c r="R100" s="348"/>
      <c r="S100" s="348" t="s">
        <v>1085</v>
      </c>
      <c r="T100" s="348" t="s">
        <v>1279</v>
      </c>
      <c r="U100" s="348" t="s">
        <v>40</v>
      </c>
      <c r="V100" s="348" t="s">
        <v>983</v>
      </c>
      <c r="W100" s="348" t="s">
        <v>75</v>
      </c>
      <c r="X100" s="348">
        <f t="shared" si="1"/>
        <v>10</v>
      </c>
    </row>
    <row r="101" spans="1:24" ht="139.5" customHeight="1" x14ac:dyDescent="0.3">
      <c r="A101" s="225" t="s">
        <v>288</v>
      </c>
      <c r="B101" s="348" t="s">
        <v>1086</v>
      </c>
      <c r="C101" s="348">
        <v>0</v>
      </c>
      <c r="D101" s="348">
        <v>1</v>
      </c>
      <c r="E101" s="348">
        <v>0</v>
      </c>
      <c r="F101" s="348">
        <v>0</v>
      </c>
      <c r="G101" s="348">
        <v>0</v>
      </c>
      <c r="H101" s="348">
        <v>0</v>
      </c>
      <c r="I101" s="348">
        <v>0</v>
      </c>
      <c r="J101" s="348">
        <v>0</v>
      </c>
      <c r="K101" s="348"/>
      <c r="L101" s="348" t="s">
        <v>131</v>
      </c>
      <c r="M101" s="348" t="s">
        <v>983</v>
      </c>
      <c r="N101" s="348" t="s">
        <v>975</v>
      </c>
      <c r="O101" s="348" t="s">
        <v>975</v>
      </c>
      <c r="P101" s="348" t="s">
        <v>1877</v>
      </c>
      <c r="Q101" s="348" t="s">
        <v>1878</v>
      </c>
      <c r="R101" s="348"/>
      <c r="S101" s="348" t="s">
        <v>1280</v>
      </c>
      <c r="T101" s="348" t="s">
        <v>1281</v>
      </c>
      <c r="U101" s="348" t="s">
        <v>40</v>
      </c>
      <c r="V101" s="348" t="s">
        <v>983</v>
      </c>
      <c r="W101" s="348" t="s">
        <v>75</v>
      </c>
      <c r="X101" s="348">
        <f t="shared" si="1"/>
        <v>10</v>
      </c>
    </row>
    <row r="102" spans="1:24" ht="96.6" x14ac:dyDescent="0.3">
      <c r="A102" s="225" t="s">
        <v>292</v>
      </c>
      <c r="B102" s="348" t="s">
        <v>305</v>
      </c>
      <c r="C102" s="348">
        <v>0</v>
      </c>
      <c r="D102" s="348">
        <v>1</v>
      </c>
      <c r="E102" s="348">
        <v>0</v>
      </c>
      <c r="F102" s="348">
        <v>0</v>
      </c>
      <c r="G102" s="348">
        <v>0</v>
      </c>
      <c r="H102" s="348">
        <v>0</v>
      </c>
      <c r="I102" s="348">
        <v>0</v>
      </c>
      <c r="J102" s="348">
        <v>0</v>
      </c>
      <c r="K102" s="348"/>
      <c r="L102" s="348" t="s">
        <v>131</v>
      </c>
      <c r="M102" s="348" t="s">
        <v>983</v>
      </c>
      <c r="N102" s="348" t="s">
        <v>975</v>
      </c>
      <c r="O102" s="348" t="s">
        <v>975</v>
      </c>
      <c r="P102" s="348" t="s">
        <v>306</v>
      </c>
      <c r="Q102" s="348" t="s">
        <v>307</v>
      </c>
      <c r="R102" s="348"/>
      <c r="S102" s="348" t="s">
        <v>1282</v>
      </c>
      <c r="T102" s="348" t="s">
        <v>1283</v>
      </c>
      <c r="U102" s="348" t="s">
        <v>40</v>
      </c>
      <c r="V102" s="348" t="s">
        <v>983</v>
      </c>
      <c r="W102" s="348" t="s">
        <v>75</v>
      </c>
      <c r="X102" s="348">
        <f t="shared" si="1"/>
        <v>10</v>
      </c>
    </row>
    <row r="103" spans="1:24" ht="214.5" customHeight="1" x14ac:dyDescent="0.3">
      <c r="A103" s="225" t="s">
        <v>296</v>
      </c>
      <c r="B103" s="348" t="s">
        <v>1026</v>
      </c>
      <c r="C103" s="348">
        <v>0</v>
      </c>
      <c r="D103" s="348">
        <v>1</v>
      </c>
      <c r="E103" s="348">
        <v>0</v>
      </c>
      <c r="F103" s="348">
        <v>0</v>
      </c>
      <c r="G103" s="348">
        <v>0</v>
      </c>
      <c r="H103" s="348">
        <v>0</v>
      </c>
      <c r="I103" s="348">
        <v>0</v>
      </c>
      <c r="J103" s="348">
        <v>0</v>
      </c>
      <c r="K103" s="348"/>
      <c r="L103" s="348" t="s">
        <v>131</v>
      </c>
      <c r="M103" s="348" t="s">
        <v>983</v>
      </c>
      <c r="N103" s="348" t="s">
        <v>975</v>
      </c>
      <c r="O103" s="348" t="s">
        <v>975</v>
      </c>
      <c r="P103" s="348" t="s">
        <v>309</v>
      </c>
      <c r="Q103" s="348" t="s">
        <v>310</v>
      </c>
      <c r="R103" s="348"/>
      <c r="S103" s="348" t="s">
        <v>1284</v>
      </c>
      <c r="T103" s="348" t="s">
        <v>1285</v>
      </c>
      <c r="U103" s="348" t="s">
        <v>40</v>
      </c>
      <c r="V103" s="348" t="s">
        <v>983</v>
      </c>
      <c r="W103" s="348" t="s">
        <v>75</v>
      </c>
      <c r="X103" s="348">
        <f t="shared" si="1"/>
        <v>10</v>
      </c>
    </row>
    <row r="104" spans="1:24" ht="244.5" customHeight="1" x14ac:dyDescent="0.3">
      <c r="A104" s="225" t="s">
        <v>299</v>
      </c>
      <c r="B104" s="348" t="s">
        <v>286</v>
      </c>
      <c r="C104" s="348">
        <v>0</v>
      </c>
      <c r="D104" s="348">
        <v>1</v>
      </c>
      <c r="E104" s="348">
        <v>0</v>
      </c>
      <c r="F104" s="348">
        <v>0</v>
      </c>
      <c r="G104" s="348">
        <v>0</v>
      </c>
      <c r="H104" s="348">
        <v>0</v>
      </c>
      <c r="I104" s="348">
        <v>0</v>
      </c>
      <c r="J104" s="348">
        <v>0</v>
      </c>
      <c r="K104" s="348"/>
      <c r="L104" s="348" t="s">
        <v>131</v>
      </c>
      <c r="M104" s="348" t="s">
        <v>983</v>
      </c>
      <c r="N104" s="348" t="s">
        <v>975</v>
      </c>
      <c r="O104" s="348" t="s">
        <v>975</v>
      </c>
      <c r="P104" s="348" t="s">
        <v>287</v>
      </c>
      <c r="Q104" s="348" t="s">
        <v>1879</v>
      </c>
      <c r="R104" s="356" t="s">
        <v>1567</v>
      </c>
      <c r="S104" s="348" t="s">
        <v>1286</v>
      </c>
      <c r="T104" s="348" t="s">
        <v>1208</v>
      </c>
      <c r="U104" s="348" t="s">
        <v>40</v>
      </c>
      <c r="V104" s="348" t="s">
        <v>983</v>
      </c>
      <c r="W104" s="348" t="s">
        <v>41</v>
      </c>
      <c r="X104" s="348">
        <f t="shared" si="1"/>
        <v>5</v>
      </c>
    </row>
    <row r="105" spans="1:24" ht="110.4" x14ac:dyDescent="0.3">
      <c r="A105" s="225" t="s">
        <v>302</v>
      </c>
      <c r="B105" s="348" t="s">
        <v>289</v>
      </c>
      <c r="C105" s="348">
        <v>0</v>
      </c>
      <c r="D105" s="348">
        <v>1</v>
      </c>
      <c r="E105" s="348">
        <v>0</v>
      </c>
      <c r="F105" s="348">
        <v>0</v>
      </c>
      <c r="G105" s="348">
        <v>0</v>
      </c>
      <c r="H105" s="348">
        <v>0</v>
      </c>
      <c r="I105" s="348">
        <v>0</v>
      </c>
      <c r="J105" s="348">
        <v>0</v>
      </c>
      <c r="K105" s="348"/>
      <c r="L105" s="348" t="s">
        <v>131</v>
      </c>
      <c r="M105" s="348" t="s">
        <v>983</v>
      </c>
      <c r="N105" s="348" t="s">
        <v>975</v>
      </c>
      <c r="O105" s="348" t="s">
        <v>290</v>
      </c>
      <c r="P105" s="348" t="s">
        <v>1212</v>
      </c>
      <c r="Q105" s="348" t="s">
        <v>291</v>
      </c>
      <c r="R105" s="356" t="s">
        <v>1567</v>
      </c>
      <c r="S105" s="348" t="s">
        <v>1287</v>
      </c>
      <c r="T105" s="348" t="s">
        <v>1288</v>
      </c>
      <c r="U105" s="348" t="s">
        <v>40</v>
      </c>
      <c r="V105" s="348" t="s">
        <v>983</v>
      </c>
      <c r="W105" s="348" t="s">
        <v>41</v>
      </c>
      <c r="X105" s="348">
        <f t="shared" si="1"/>
        <v>5</v>
      </c>
    </row>
    <row r="106" spans="1:24" ht="110.4" x14ac:dyDescent="0.3">
      <c r="A106" s="225" t="s">
        <v>304</v>
      </c>
      <c r="B106" s="348" t="s">
        <v>297</v>
      </c>
      <c r="C106" s="348">
        <v>0</v>
      </c>
      <c r="D106" s="348">
        <v>1</v>
      </c>
      <c r="E106" s="348">
        <v>0</v>
      </c>
      <c r="F106" s="348">
        <v>0</v>
      </c>
      <c r="G106" s="348">
        <v>0</v>
      </c>
      <c r="H106" s="348">
        <v>0</v>
      </c>
      <c r="I106" s="348">
        <v>0</v>
      </c>
      <c r="J106" s="348">
        <v>0</v>
      </c>
      <c r="K106" s="348"/>
      <c r="L106" s="348" t="s">
        <v>131</v>
      </c>
      <c r="M106" s="348" t="s">
        <v>983</v>
      </c>
      <c r="N106" s="348" t="s">
        <v>975</v>
      </c>
      <c r="O106" s="348" t="s">
        <v>975</v>
      </c>
      <c r="P106" s="348" t="s">
        <v>298</v>
      </c>
      <c r="Q106" s="348" t="s">
        <v>1180</v>
      </c>
      <c r="R106" s="356" t="s">
        <v>1567</v>
      </c>
      <c r="S106" s="348" t="s">
        <v>1289</v>
      </c>
      <c r="T106" s="348" t="s">
        <v>1290</v>
      </c>
      <c r="U106" s="348" t="s">
        <v>40</v>
      </c>
      <c r="V106" s="348" t="s">
        <v>983</v>
      </c>
      <c r="W106" s="348" t="s">
        <v>41</v>
      </c>
      <c r="X106" s="348">
        <f t="shared" si="1"/>
        <v>5</v>
      </c>
    </row>
    <row r="107" spans="1:24" ht="82.8" x14ac:dyDescent="0.3">
      <c r="A107" s="225" t="s">
        <v>308</v>
      </c>
      <c r="B107" s="348" t="s">
        <v>1213</v>
      </c>
      <c r="C107" s="348">
        <v>0</v>
      </c>
      <c r="D107" s="348">
        <v>1</v>
      </c>
      <c r="E107" s="348">
        <v>0</v>
      </c>
      <c r="F107" s="348">
        <v>0</v>
      </c>
      <c r="G107" s="348">
        <v>0</v>
      </c>
      <c r="H107" s="348">
        <v>0</v>
      </c>
      <c r="I107" s="348">
        <v>0</v>
      </c>
      <c r="J107" s="348">
        <v>0</v>
      </c>
      <c r="K107" s="348"/>
      <c r="L107" s="348" t="s">
        <v>131</v>
      </c>
      <c r="M107" s="348" t="s">
        <v>983</v>
      </c>
      <c r="N107" s="348" t="s">
        <v>975</v>
      </c>
      <c r="O107" s="348" t="s">
        <v>975</v>
      </c>
      <c r="P107" s="348" t="s">
        <v>300</v>
      </c>
      <c r="Q107" s="348" t="s">
        <v>301</v>
      </c>
      <c r="R107" s="349" t="s">
        <v>1567</v>
      </c>
      <c r="S107" s="348" t="s">
        <v>1291</v>
      </c>
      <c r="T107" s="348" t="s">
        <v>1292</v>
      </c>
      <c r="U107" s="348" t="s">
        <v>40</v>
      </c>
      <c r="V107" s="348" t="s">
        <v>983</v>
      </c>
      <c r="W107" s="348" t="s">
        <v>41</v>
      </c>
      <c r="X107" s="348">
        <f t="shared" si="1"/>
        <v>5</v>
      </c>
    </row>
    <row r="108" spans="1:24" ht="276.75" customHeight="1" x14ac:dyDescent="0.3">
      <c r="A108" s="225" t="s">
        <v>311</v>
      </c>
      <c r="B108" s="348" t="s">
        <v>1181</v>
      </c>
      <c r="C108" s="348">
        <v>0</v>
      </c>
      <c r="D108" s="348">
        <v>1</v>
      </c>
      <c r="E108" s="348">
        <v>0</v>
      </c>
      <c r="F108" s="348">
        <v>0</v>
      </c>
      <c r="G108" s="348">
        <v>0</v>
      </c>
      <c r="H108" s="348">
        <v>0</v>
      </c>
      <c r="I108" s="348">
        <v>0</v>
      </c>
      <c r="J108" s="348">
        <v>0</v>
      </c>
      <c r="K108" s="348"/>
      <c r="L108" s="348" t="s">
        <v>131</v>
      </c>
      <c r="M108" s="348" t="s">
        <v>983</v>
      </c>
      <c r="N108" s="348" t="s">
        <v>975</v>
      </c>
      <c r="O108" s="348" t="s">
        <v>975</v>
      </c>
      <c r="P108" s="348" t="s">
        <v>1182</v>
      </c>
      <c r="Q108" s="348" t="s">
        <v>975</v>
      </c>
      <c r="R108" s="348"/>
      <c r="S108" s="348" t="s">
        <v>1293</v>
      </c>
      <c r="T108" s="348" t="s">
        <v>303</v>
      </c>
      <c r="U108" s="348" t="s">
        <v>40</v>
      </c>
      <c r="V108" s="348" t="s">
        <v>983</v>
      </c>
      <c r="W108" s="348" t="s">
        <v>41</v>
      </c>
      <c r="X108" s="348">
        <f t="shared" si="1"/>
        <v>5</v>
      </c>
    </row>
    <row r="109" spans="1:24" ht="174" customHeight="1" x14ac:dyDescent="0.3">
      <c r="A109" s="225" t="s">
        <v>315</v>
      </c>
      <c r="B109" s="348" t="s">
        <v>312</v>
      </c>
      <c r="C109" s="348">
        <v>0</v>
      </c>
      <c r="D109" s="348">
        <v>1</v>
      </c>
      <c r="E109" s="348">
        <v>0</v>
      </c>
      <c r="F109" s="348">
        <v>0</v>
      </c>
      <c r="G109" s="348">
        <v>0</v>
      </c>
      <c r="H109" s="348">
        <v>0</v>
      </c>
      <c r="I109" s="348">
        <v>0</v>
      </c>
      <c r="J109" s="348">
        <v>0</v>
      </c>
      <c r="K109" s="348"/>
      <c r="L109" s="348" t="s">
        <v>131</v>
      </c>
      <c r="M109" s="348" t="s">
        <v>983</v>
      </c>
      <c r="N109" s="348" t="s">
        <v>975</v>
      </c>
      <c r="O109" s="348" t="s">
        <v>975</v>
      </c>
      <c r="P109" s="348" t="s">
        <v>1880</v>
      </c>
      <c r="Q109" s="348" t="s">
        <v>313</v>
      </c>
      <c r="R109" s="348"/>
      <c r="S109" s="348" t="s">
        <v>314</v>
      </c>
      <c r="T109" s="348" t="s">
        <v>1279</v>
      </c>
      <c r="U109" s="348" t="s">
        <v>40</v>
      </c>
      <c r="V109" s="348" t="s">
        <v>983</v>
      </c>
      <c r="W109" s="348" t="s">
        <v>41</v>
      </c>
      <c r="X109" s="348">
        <f t="shared" si="1"/>
        <v>5</v>
      </c>
    </row>
    <row r="110" spans="1:24" ht="138" x14ac:dyDescent="0.3">
      <c r="A110" s="225" t="s">
        <v>319</v>
      </c>
      <c r="B110" s="348" t="s">
        <v>316</v>
      </c>
      <c r="C110" s="348">
        <v>0</v>
      </c>
      <c r="D110" s="348">
        <v>1</v>
      </c>
      <c r="E110" s="348">
        <v>0</v>
      </c>
      <c r="F110" s="348">
        <v>0</v>
      </c>
      <c r="G110" s="348">
        <v>0</v>
      </c>
      <c r="H110" s="348">
        <v>0</v>
      </c>
      <c r="I110" s="348">
        <v>0</v>
      </c>
      <c r="J110" s="348">
        <v>0</v>
      </c>
      <c r="K110" s="348"/>
      <c r="L110" s="348" t="s">
        <v>131</v>
      </c>
      <c r="M110" s="348" t="s">
        <v>983</v>
      </c>
      <c r="N110" s="348" t="s">
        <v>975</v>
      </c>
      <c r="O110" s="348" t="s">
        <v>975</v>
      </c>
      <c r="P110" s="348" t="s">
        <v>317</v>
      </c>
      <c r="Q110" s="348" t="s">
        <v>318</v>
      </c>
      <c r="R110" s="348"/>
      <c r="S110" s="348" t="s">
        <v>1087</v>
      </c>
      <c r="T110" s="348" t="s">
        <v>1294</v>
      </c>
      <c r="U110" s="348" t="s">
        <v>40</v>
      </c>
      <c r="V110" s="348" t="s">
        <v>983</v>
      </c>
      <c r="W110" s="348" t="s">
        <v>41</v>
      </c>
      <c r="X110" s="348">
        <f t="shared" si="1"/>
        <v>5</v>
      </c>
    </row>
    <row r="111" spans="1:24" ht="193.2" x14ac:dyDescent="0.3">
      <c r="A111" s="225" t="s">
        <v>321</v>
      </c>
      <c r="B111" s="348" t="s">
        <v>322</v>
      </c>
      <c r="C111" s="348">
        <v>0</v>
      </c>
      <c r="D111" s="348">
        <v>1</v>
      </c>
      <c r="E111" s="348">
        <v>0</v>
      </c>
      <c r="F111" s="348">
        <v>0</v>
      </c>
      <c r="G111" s="348">
        <v>0</v>
      </c>
      <c r="H111" s="348">
        <v>0</v>
      </c>
      <c r="I111" s="348">
        <v>0</v>
      </c>
      <c r="J111" s="348">
        <v>0</v>
      </c>
      <c r="K111" s="348"/>
      <c r="L111" s="348" t="s">
        <v>131</v>
      </c>
      <c r="M111" s="348" t="s">
        <v>983</v>
      </c>
      <c r="N111" s="348" t="s">
        <v>975</v>
      </c>
      <c r="O111" s="348" t="s">
        <v>975</v>
      </c>
      <c r="P111" s="348" t="s">
        <v>323</v>
      </c>
      <c r="Q111" s="348" t="s">
        <v>324</v>
      </c>
      <c r="R111" s="348"/>
      <c r="S111" s="348" t="s">
        <v>1239</v>
      </c>
      <c r="T111" s="348" t="s">
        <v>1240</v>
      </c>
      <c r="U111" s="348" t="s">
        <v>40</v>
      </c>
      <c r="V111" s="348" t="s">
        <v>983</v>
      </c>
      <c r="W111" s="348" t="s">
        <v>41</v>
      </c>
      <c r="X111" s="348">
        <f t="shared" si="1"/>
        <v>5</v>
      </c>
    </row>
    <row r="112" spans="1:24" ht="124.2" x14ac:dyDescent="0.3">
      <c r="A112" s="360" t="s">
        <v>325</v>
      </c>
      <c r="B112" s="360" t="s">
        <v>1000</v>
      </c>
      <c r="C112" s="348">
        <v>0</v>
      </c>
      <c r="D112" s="348">
        <v>0</v>
      </c>
      <c r="E112" s="348">
        <v>1</v>
      </c>
      <c r="F112" s="348">
        <v>0</v>
      </c>
      <c r="G112" s="348">
        <v>0</v>
      </c>
      <c r="H112" s="348">
        <v>0</v>
      </c>
      <c r="I112" s="348">
        <v>0</v>
      </c>
      <c r="J112" s="348">
        <v>0</v>
      </c>
      <c r="K112" s="348"/>
      <c r="L112" s="348" t="s">
        <v>4</v>
      </c>
      <c r="M112" s="348" t="s">
        <v>983</v>
      </c>
      <c r="N112" s="348" t="s">
        <v>1246</v>
      </c>
      <c r="O112" s="348" t="s">
        <v>975</v>
      </c>
      <c r="P112" s="348" t="s">
        <v>975</v>
      </c>
      <c r="Q112" s="348" t="s">
        <v>330</v>
      </c>
      <c r="R112" s="348"/>
      <c r="S112" s="348" t="s">
        <v>331</v>
      </c>
      <c r="T112" s="348" t="s">
        <v>1295</v>
      </c>
      <c r="U112" s="348" t="s">
        <v>148</v>
      </c>
      <c r="V112" s="348" t="s">
        <v>983</v>
      </c>
      <c r="W112" s="348" t="s">
        <v>46</v>
      </c>
      <c r="X112" s="348">
        <f t="shared" si="1"/>
        <v>20</v>
      </c>
    </row>
    <row r="113" spans="1:24" ht="96.6" x14ac:dyDescent="0.3">
      <c r="A113" s="360" t="s">
        <v>329</v>
      </c>
      <c r="B113" s="360" t="s">
        <v>1088</v>
      </c>
      <c r="C113" s="348">
        <v>0</v>
      </c>
      <c r="D113" s="348">
        <v>0</v>
      </c>
      <c r="E113" s="348">
        <v>1</v>
      </c>
      <c r="F113" s="348">
        <v>0</v>
      </c>
      <c r="G113" s="348">
        <v>0</v>
      </c>
      <c r="H113" s="348">
        <v>0</v>
      </c>
      <c r="I113" s="348">
        <v>0</v>
      </c>
      <c r="J113" s="348">
        <v>1</v>
      </c>
      <c r="K113" s="348"/>
      <c r="L113" s="348" t="s">
        <v>4</v>
      </c>
      <c r="M113" s="348" t="s">
        <v>983</v>
      </c>
      <c r="N113" s="348" t="s">
        <v>1246</v>
      </c>
      <c r="O113" s="348" t="s">
        <v>975</v>
      </c>
      <c r="P113" s="348" t="s">
        <v>333</v>
      </c>
      <c r="Q113" s="348" t="s">
        <v>334</v>
      </c>
      <c r="R113" s="348"/>
      <c r="S113" s="348" t="s">
        <v>1209</v>
      </c>
      <c r="T113" s="348" t="s">
        <v>335</v>
      </c>
      <c r="U113" s="348" t="s">
        <v>40</v>
      </c>
      <c r="V113" s="348" t="s">
        <v>983</v>
      </c>
      <c r="W113" s="348" t="s">
        <v>46</v>
      </c>
      <c r="X113" s="348">
        <f t="shared" si="1"/>
        <v>20</v>
      </c>
    </row>
    <row r="114" spans="1:24" ht="110.4" x14ac:dyDescent="0.3">
      <c r="A114" s="360" t="s">
        <v>332</v>
      </c>
      <c r="B114" s="360" t="s">
        <v>1089</v>
      </c>
      <c r="C114" s="348">
        <v>0</v>
      </c>
      <c r="D114" s="348">
        <v>0</v>
      </c>
      <c r="E114" s="348">
        <v>1</v>
      </c>
      <c r="F114" s="348">
        <v>0</v>
      </c>
      <c r="G114" s="348">
        <v>0</v>
      </c>
      <c r="H114" s="348">
        <v>0</v>
      </c>
      <c r="I114" s="348">
        <v>0</v>
      </c>
      <c r="J114" s="348">
        <v>1</v>
      </c>
      <c r="K114" s="348"/>
      <c r="L114" s="348" t="s">
        <v>4</v>
      </c>
      <c r="M114" s="348" t="s">
        <v>983</v>
      </c>
      <c r="N114" s="348" t="s">
        <v>1246</v>
      </c>
      <c r="O114" s="348" t="s">
        <v>975</v>
      </c>
      <c r="P114" s="348" t="s">
        <v>337</v>
      </c>
      <c r="Q114" s="348" t="s">
        <v>338</v>
      </c>
      <c r="R114" s="348"/>
      <c r="S114" s="348" t="s">
        <v>339</v>
      </c>
      <c r="T114" s="348" t="s">
        <v>340</v>
      </c>
      <c r="U114" s="348" t="s">
        <v>40</v>
      </c>
      <c r="V114" s="348" t="s">
        <v>983</v>
      </c>
      <c r="W114" s="348" t="s">
        <v>46</v>
      </c>
      <c r="X114" s="348">
        <f t="shared" si="1"/>
        <v>20</v>
      </c>
    </row>
    <row r="115" spans="1:24" ht="165.6" x14ac:dyDescent="0.3">
      <c r="A115" s="360" t="s">
        <v>336</v>
      </c>
      <c r="B115" s="360" t="s">
        <v>1215</v>
      </c>
      <c r="C115" s="348">
        <v>0</v>
      </c>
      <c r="D115" s="348">
        <v>0</v>
      </c>
      <c r="E115" s="348">
        <v>1</v>
      </c>
      <c r="F115" s="348">
        <v>0</v>
      </c>
      <c r="G115" s="348">
        <v>0</v>
      </c>
      <c r="H115" s="348">
        <v>0</v>
      </c>
      <c r="I115" s="348">
        <v>0</v>
      </c>
      <c r="J115" s="348">
        <v>0</v>
      </c>
      <c r="K115" s="348"/>
      <c r="L115" s="348" t="s">
        <v>4</v>
      </c>
      <c r="M115" s="348" t="s">
        <v>983</v>
      </c>
      <c r="N115" s="348" t="s">
        <v>1246</v>
      </c>
      <c r="O115" s="348" t="s">
        <v>975</v>
      </c>
      <c r="P115" s="348" t="s">
        <v>342</v>
      </c>
      <c r="Q115" s="348" t="s">
        <v>343</v>
      </c>
      <c r="R115" s="348"/>
      <c r="S115" s="348" t="s">
        <v>1296</v>
      </c>
      <c r="T115" s="348" t="s">
        <v>1297</v>
      </c>
      <c r="U115" s="348" t="s">
        <v>40</v>
      </c>
      <c r="V115" s="348" t="s">
        <v>983</v>
      </c>
      <c r="W115" s="348" t="s">
        <v>46</v>
      </c>
      <c r="X115" s="348">
        <f t="shared" si="1"/>
        <v>20</v>
      </c>
    </row>
    <row r="116" spans="1:24" ht="138" x14ac:dyDescent="0.3">
      <c r="A116" s="360" t="s">
        <v>341</v>
      </c>
      <c r="B116" s="360" t="s">
        <v>1001</v>
      </c>
      <c r="C116" s="348">
        <v>0</v>
      </c>
      <c r="D116" s="348">
        <v>0</v>
      </c>
      <c r="E116" s="348">
        <v>1</v>
      </c>
      <c r="F116" s="348">
        <v>0</v>
      </c>
      <c r="G116" s="348">
        <v>0</v>
      </c>
      <c r="H116" s="348">
        <v>0</v>
      </c>
      <c r="I116" s="348">
        <v>0</v>
      </c>
      <c r="J116" s="348">
        <v>1</v>
      </c>
      <c r="K116" s="348"/>
      <c r="L116" s="348" t="s">
        <v>4</v>
      </c>
      <c r="M116" s="348" t="s">
        <v>983</v>
      </c>
      <c r="N116" s="348" t="s">
        <v>1246</v>
      </c>
      <c r="O116" s="348" t="s">
        <v>975</v>
      </c>
      <c r="P116" s="348" t="s">
        <v>347</v>
      </c>
      <c r="Q116" s="348" t="s">
        <v>345</v>
      </c>
      <c r="R116" s="348"/>
      <c r="S116" s="348" t="s">
        <v>1298</v>
      </c>
      <c r="T116" s="348" t="s">
        <v>1299</v>
      </c>
      <c r="U116" s="348" t="s">
        <v>40</v>
      </c>
      <c r="V116" s="348" t="s">
        <v>983</v>
      </c>
      <c r="W116" s="348" t="s">
        <v>46</v>
      </c>
      <c r="X116" s="348">
        <f t="shared" si="1"/>
        <v>20</v>
      </c>
    </row>
    <row r="117" spans="1:24" ht="124.2" x14ac:dyDescent="0.3">
      <c r="A117" s="360" t="s">
        <v>344</v>
      </c>
      <c r="B117" s="360" t="s">
        <v>1699</v>
      </c>
      <c r="C117" s="348">
        <v>0</v>
      </c>
      <c r="D117" s="348">
        <v>0</v>
      </c>
      <c r="E117" s="348">
        <v>1</v>
      </c>
      <c r="F117" s="348">
        <v>0</v>
      </c>
      <c r="G117" s="348">
        <v>0</v>
      </c>
      <c r="H117" s="348">
        <v>0</v>
      </c>
      <c r="I117" s="348">
        <v>0</v>
      </c>
      <c r="J117" s="348">
        <v>1</v>
      </c>
      <c r="K117" s="348"/>
      <c r="L117" s="348" t="s">
        <v>4</v>
      </c>
      <c r="M117" s="348" t="s">
        <v>983</v>
      </c>
      <c r="N117" s="348" t="s">
        <v>1246</v>
      </c>
      <c r="O117" s="348" t="s">
        <v>975</v>
      </c>
      <c r="P117" s="348" t="s">
        <v>356</v>
      </c>
      <c r="Q117" s="348" t="s">
        <v>357</v>
      </c>
      <c r="R117" s="348"/>
      <c r="S117" s="348" t="s">
        <v>358</v>
      </c>
      <c r="T117" s="348" t="s">
        <v>1300</v>
      </c>
      <c r="U117" s="348" t="s">
        <v>40</v>
      </c>
      <c r="V117" s="348" t="s">
        <v>983</v>
      </c>
      <c r="W117" s="348" t="s">
        <v>46</v>
      </c>
      <c r="X117" s="348">
        <f t="shared" si="1"/>
        <v>20</v>
      </c>
    </row>
    <row r="118" spans="1:24" ht="151.80000000000001" x14ac:dyDescent="0.3">
      <c r="A118" s="360" t="s">
        <v>346</v>
      </c>
      <c r="B118" s="360" t="s">
        <v>1002</v>
      </c>
      <c r="C118" s="348">
        <v>0</v>
      </c>
      <c r="D118" s="348">
        <v>0</v>
      </c>
      <c r="E118" s="348">
        <v>1</v>
      </c>
      <c r="F118" s="348">
        <v>0</v>
      </c>
      <c r="G118" s="348">
        <v>0</v>
      </c>
      <c r="H118" s="348">
        <v>0</v>
      </c>
      <c r="I118" s="348">
        <v>0</v>
      </c>
      <c r="J118" s="348">
        <v>0</v>
      </c>
      <c r="K118" s="348"/>
      <c r="L118" s="348" t="s">
        <v>4</v>
      </c>
      <c r="M118" s="348" t="s">
        <v>983</v>
      </c>
      <c r="N118" s="348" t="s">
        <v>1246</v>
      </c>
      <c r="O118" s="348" t="s">
        <v>975</v>
      </c>
      <c r="P118" s="348" t="s">
        <v>975</v>
      </c>
      <c r="Q118" s="348" t="s">
        <v>376</v>
      </c>
      <c r="R118" s="348"/>
      <c r="S118" s="348" t="s">
        <v>377</v>
      </c>
      <c r="T118" s="348" t="s">
        <v>378</v>
      </c>
      <c r="U118" s="348" t="s">
        <v>148</v>
      </c>
      <c r="V118" s="348" t="s">
        <v>983</v>
      </c>
      <c r="W118" s="348" t="s">
        <v>46</v>
      </c>
      <c r="X118" s="348">
        <f t="shared" si="1"/>
        <v>20</v>
      </c>
    </row>
    <row r="119" spans="1:24" ht="151.80000000000001" x14ac:dyDescent="0.3">
      <c r="A119" s="360" t="s">
        <v>348</v>
      </c>
      <c r="B119" s="360" t="s">
        <v>1003</v>
      </c>
      <c r="C119" s="348">
        <v>0</v>
      </c>
      <c r="D119" s="348">
        <v>0</v>
      </c>
      <c r="E119" s="348">
        <v>1</v>
      </c>
      <c r="F119" s="348">
        <v>0</v>
      </c>
      <c r="G119" s="348">
        <v>0</v>
      </c>
      <c r="H119" s="348">
        <v>0</v>
      </c>
      <c r="I119" s="348">
        <v>0</v>
      </c>
      <c r="J119" s="348">
        <v>0</v>
      </c>
      <c r="K119" s="348"/>
      <c r="L119" s="348" t="s">
        <v>4</v>
      </c>
      <c r="M119" s="348" t="s">
        <v>983</v>
      </c>
      <c r="N119" s="348" t="s">
        <v>1246</v>
      </c>
      <c r="O119" s="348" t="s">
        <v>975</v>
      </c>
      <c r="P119" s="348" t="s">
        <v>396</v>
      </c>
      <c r="Q119" s="348" t="s">
        <v>397</v>
      </c>
      <c r="R119" s="348"/>
      <c r="S119" s="348" t="s">
        <v>390</v>
      </c>
      <c r="T119" s="348" t="s">
        <v>391</v>
      </c>
      <c r="U119" s="348" t="s">
        <v>40</v>
      </c>
      <c r="V119" s="348" t="s">
        <v>983</v>
      </c>
      <c r="W119" s="348" t="s">
        <v>46</v>
      </c>
      <c r="X119" s="348">
        <f t="shared" si="1"/>
        <v>20</v>
      </c>
    </row>
    <row r="120" spans="1:24" ht="124.2" x14ac:dyDescent="0.3">
      <c r="A120" s="348" t="s">
        <v>352</v>
      </c>
      <c r="B120" s="348" t="s">
        <v>1519</v>
      </c>
      <c r="C120" s="348">
        <v>0</v>
      </c>
      <c r="D120" s="348">
        <v>0</v>
      </c>
      <c r="E120" s="348">
        <v>1</v>
      </c>
      <c r="F120" s="348">
        <v>0</v>
      </c>
      <c r="G120" s="348">
        <v>0</v>
      </c>
      <c r="H120" s="348">
        <v>0</v>
      </c>
      <c r="I120" s="348">
        <v>0</v>
      </c>
      <c r="J120" s="348">
        <v>1</v>
      </c>
      <c r="K120" s="348"/>
      <c r="L120" s="348" t="s">
        <v>4</v>
      </c>
      <c r="M120" s="348" t="s">
        <v>983</v>
      </c>
      <c r="N120" s="348" t="s">
        <v>1246</v>
      </c>
      <c r="O120" s="348" t="s">
        <v>1520</v>
      </c>
      <c r="P120" s="348" t="s">
        <v>1090</v>
      </c>
      <c r="Q120" s="348" t="s">
        <v>345</v>
      </c>
      <c r="R120" s="348"/>
      <c r="S120" s="348" t="s">
        <v>1301</v>
      </c>
      <c r="T120" s="348" t="s">
        <v>1299</v>
      </c>
      <c r="U120" s="348" t="s">
        <v>40</v>
      </c>
      <c r="V120" s="348" t="s">
        <v>983</v>
      </c>
      <c r="W120" s="348" t="s">
        <v>75</v>
      </c>
      <c r="X120" s="348">
        <f t="shared" si="1"/>
        <v>10</v>
      </c>
    </row>
    <row r="121" spans="1:24" ht="138" x14ac:dyDescent="0.3">
      <c r="A121" s="348" t="s">
        <v>355</v>
      </c>
      <c r="B121" s="348" t="s">
        <v>349</v>
      </c>
      <c r="C121" s="348">
        <v>0</v>
      </c>
      <c r="D121" s="348">
        <v>0</v>
      </c>
      <c r="E121" s="348">
        <v>1</v>
      </c>
      <c r="F121" s="348">
        <v>0</v>
      </c>
      <c r="G121" s="348">
        <v>0</v>
      </c>
      <c r="H121" s="348">
        <v>0</v>
      </c>
      <c r="I121" s="348">
        <v>0</v>
      </c>
      <c r="J121" s="348">
        <v>1</v>
      </c>
      <c r="K121" s="348"/>
      <c r="L121" s="348" t="s">
        <v>4</v>
      </c>
      <c r="M121" s="348" t="s">
        <v>983</v>
      </c>
      <c r="N121" s="348" t="s">
        <v>1246</v>
      </c>
      <c r="O121" s="348" t="s">
        <v>975</v>
      </c>
      <c r="P121" s="348" t="s">
        <v>350</v>
      </c>
      <c r="Q121" s="348" t="s">
        <v>351</v>
      </c>
      <c r="R121" s="348"/>
      <c r="S121" s="348" t="s">
        <v>1302</v>
      </c>
      <c r="T121" s="348" t="s">
        <v>1299</v>
      </c>
      <c r="U121" s="348" t="s">
        <v>40</v>
      </c>
      <c r="V121" s="348" t="s">
        <v>983</v>
      </c>
      <c r="W121" s="348" t="s">
        <v>75</v>
      </c>
      <c r="X121" s="348">
        <f t="shared" si="1"/>
        <v>10</v>
      </c>
    </row>
    <row r="122" spans="1:24" ht="110.4" x14ac:dyDescent="0.3">
      <c r="A122" s="348" t="s">
        <v>359</v>
      </c>
      <c r="B122" s="348" t="s">
        <v>370</v>
      </c>
      <c r="C122" s="348">
        <v>0</v>
      </c>
      <c r="D122" s="348">
        <v>0</v>
      </c>
      <c r="E122" s="348">
        <v>1</v>
      </c>
      <c r="F122" s="348">
        <v>0</v>
      </c>
      <c r="G122" s="348">
        <v>0</v>
      </c>
      <c r="H122" s="348">
        <v>0</v>
      </c>
      <c r="I122" s="348">
        <v>0</v>
      </c>
      <c r="J122" s="348">
        <v>1</v>
      </c>
      <c r="K122" s="348"/>
      <c r="L122" s="348" t="s">
        <v>4</v>
      </c>
      <c r="M122" s="348" t="s">
        <v>983</v>
      </c>
      <c r="N122" s="348" t="s">
        <v>1246</v>
      </c>
      <c r="O122" s="348" t="s">
        <v>975</v>
      </c>
      <c r="P122" s="348" t="s">
        <v>371</v>
      </c>
      <c r="Q122" s="348" t="s">
        <v>1881</v>
      </c>
      <c r="R122" s="349" t="s">
        <v>1567</v>
      </c>
      <c r="S122" s="348" t="s">
        <v>1303</v>
      </c>
      <c r="T122" s="348" t="s">
        <v>372</v>
      </c>
      <c r="U122" s="348" t="s">
        <v>40</v>
      </c>
      <c r="V122" s="348" t="s">
        <v>983</v>
      </c>
      <c r="W122" s="348" t="s">
        <v>75</v>
      </c>
      <c r="X122" s="348">
        <f t="shared" si="1"/>
        <v>10</v>
      </c>
    </row>
    <row r="123" spans="1:24" ht="151.80000000000001" x14ac:dyDescent="0.3">
      <c r="A123" s="348" t="s">
        <v>363</v>
      </c>
      <c r="B123" s="348" t="s">
        <v>1091</v>
      </c>
      <c r="C123" s="348">
        <v>0</v>
      </c>
      <c r="D123" s="348">
        <v>0</v>
      </c>
      <c r="E123" s="348">
        <v>1</v>
      </c>
      <c r="F123" s="348">
        <v>0</v>
      </c>
      <c r="G123" s="348">
        <v>0</v>
      </c>
      <c r="H123" s="348">
        <v>0</v>
      </c>
      <c r="I123" s="348">
        <v>0</v>
      </c>
      <c r="J123" s="348">
        <v>1</v>
      </c>
      <c r="K123" s="348"/>
      <c r="L123" s="348" t="s">
        <v>4</v>
      </c>
      <c r="M123" s="348" t="s">
        <v>983</v>
      </c>
      <c r="N123" s="348" t="s">
        <v>1246</v>
      </c>
      <c r="O123" s="348" t="s">
        <v>975</v>
      </c>
      <c r="P123" s="348" t="s">
        <v>1092</v>
      </c>
      <c r="Q123" s="348" t="s">
        <v>1093</v>
      </c>
      <c r="R123" s="348"/>
      <c r="S123" s="348" t="s">
        <v>1304</v>
      </c>
      <c r="T123" s="348" t="s">
        <v>1094</v>
      </c>
      <c r="U123" s="348" t="s">
        <v>40</v>
      </c>
      <c r="V123" s="348" t="s">
        <v>983</v>
      </c>
      <c r="W123" s="348" t="s">
        <v>75</v>
      </c>
      <c r="X123" s="348">
        <f t="shared" si="1"/>
        <v>10</v>
      </c>
    </row>
    <row r="124" spans="1:24" ht="148.5" customHeight="1" x14ac:dyDescent="0.3">
      <c r="A124" s="348" t="s">
        <v>369</v>
      </c>
      <c r="B124" s="348" t="s">
        <v>1095</v>
      </c>
      <c r="C124" s="348">
        <v>0</v>
      </c>
      <c r="D124" s="348">
        <v>0</v>
      </c>
      <c r="E124" s="348">
        <v>1</v>
      </c>
      <c r="F124" s="348">
        <v>0</v>
      </c>
      <c r="G124" s="348">
        <v>0</v>
      </c>
      <c r="H124" s="348">
        <v>0</v>
      </c>
      <c r="I124" s="348">
        <v>0</v>
      </c>
      <c r="J124" s="348">
        <v>1</v>
      </c>
      <c r="K124" s="348"/>
      <c r="L124" s="348" t="s">
        <v>4</v>
      </c>
      <c r="M124" s="348" t="s">
        <v>983</v>
      </c>
      <c r="N124" s="348" t="s">
        <v>1246</v>
      </c>
      <c r="O124" s="348" t="s">
        <v>975</v>
      </c>
      <c r="P124" s="348" t="s">
        <v>1096</v>
      </c>
      <c r="Q124" s="348" t="s">
        <v>1097</v>
      </c>
      <c r="R124" s="348"/>
      <c r="S124" s="348" t="s">
        <v>1882</v>
      </c>
      <c r="T124" s="348" t="s">
        <v>1098</v>
      </c>
      <c r="U124" s="348" t="s">
        <v>40</v>
      </c>
      <c r="V124" s="348" t="s">
        <v>983</v>
      </c>
      <c r="W124" s="348" t="s">
        <v>75</v>
      </c>
      <c r="X124" s="348">
        <f t="shared" si="1"/>
        <v>10</v>
      </c>
    </row>
    <row r="125" spans="1:24" ht="147" customHeight="1" x14ac:dyDescent="0.3">
      <c r="A125" s="348" t="s">
        <v>373</v>
      </c>
      <c r="B125" s="348" t="s">
        <v>380</v>
      </c>
      <c r="C125" s="348">
        <v>0</v>
      </c>
      <c r="D125" s="348">
        <v>0</v>
      </c>
      <c r="E125" s="348">
        <v>1</v>
      </c>
      <c r="F125" s="348">
        <v>0</v>
      </c>
      <c r="G125" s="348">
        <v>0</v>
      </c>
      <c r="H125" s="348">
        <v>0</v>
      </c>
      <c r="I125" s="348">
        <v>0</v>
      </c>
      <c r="J125" s="348">
        <v>1</v>
      </c>
      <c r="K125" s="348"/>
      <c r="L125" s="348" t="s">
        <v>4</v>
      </c>
      <c r="M125" s="348" t="s">
        <v>983</v>
      </c>
      <c r="N125" s="348" t="s">
        <v>1246</v>
      </c>
      <c r="O125" s="348" t="s">
        <v>975</v>
      </c>
      <c r="P125" s="348" t="s">
        <v>381</v>
      </c>
      <c r="Q125" s="348" t="s">
        <v>382</v>
      </c>
      <c r="R125" s="348"/>
      <c r="S125" s="348" t="s">
        <v>383</v>
      </c>
      <c r="T125" s="348" t="s">
        <v>384</v>
      </c>
      <c r="U125" s="348" t="s">
        <v>40</v>
      </c>
      <c r="V125" s="348" t="s">
        <v>983</v>
      </c>
      <c r="W125" s="348" t="s">
        <v>41</v>
      </c>
      <c r="X125" s="348">
        <f t="shared" si="1"/>
        <v>5</v>
      </c>
    </row>
    <row r="126" spans="1:24" ht="151.80000000000001" x14ac:dyDescent="0.3">
      <c r="A126" s="348" t="s">
        <v>374</v>
      </c>
      <c r="B126" s="348" t="s">
        <v>1099</v>
      </c>
      <c r="C126" s="348">
        <v>0</v>
      </c>
      <c r="D126" s="348">
        <v>0</v>
      </c>
      <c r="E126" s="348">
        <v>1</v>
      </c>
      <c r="F126" s="348">
        <v>0</v>
      </c>
      <c r="G126" s="348">
        <v>0</v>
      </c>
      <c r="H126" s="348">
        <v>0</v>
      </c>
      <c r="I126" s="348">
        <v>0</v>
      </c>
      <c r="J126" s="348">
        <v>0</v>
      </c>
      <c r="K126" s="348"/>
      <c r="L126" s="348" t="s">
        <v>4</v>
      </c>
      <c r="M126" s="348" t="s">
        <v>983</v>
      </c>
      <c r="N126" s="348" t="s">
        <v>1246</v>
      </c>
      <c r="O126" s="348" t="s">
        <v>975</v>
      </c>
      <c r="P126" s="348" t="s">
        <v>388</v>
      </c>
      <c r="Q126" s="348" t="s">
        <v>389</v>
      </c>
      <c r="R126" s="348"/>
      <c r="S126" s="348" t="s">
        <v>390</v>
      </c>
      <c r="T126" s="348" t="s">
        <v>391</v>
      </c>
      <c r="U126" s="348" t="s">
        <v>40</v>
      </c>
      <c r="V126" s="348" t="s">
        <v>983</v>
      </c>
      <c r="W126" s="348" t="s">
        <v>75</v>
      </c>
      <c r="X126" s="348">
        <f t="shared" si="1"/>
        <v>10</v>
      </c>
    </row>
    <row r="127" spans="1:24" ht="151.80000000000001" x14ac:dyDescent="0.3">
      <c r="A127" s="348" t="s">
        <v>375</v>
      </c>
      <c r="B127" s="348" t="s">
        <v>1465</v>
      </c>
      <c r="C127" s="348">
        <v>0</v>
      </c>
      <c r="D127" s="348">
        <v>0</v>
      </c>
      <c r="E127" s="348">
        <v>1</v>
      </c>
      <c r="F127" s="348">
        <v>0</v>
      </c>
      <c r="G127" s="348">
        <v>0</v>
      </c>
      <c r="H127" s="348">
        <v>0</v>
      </c>
      <c r="I127" s="348">
        <v>0</v>
      </c>
      <c r="J127" s="348">
        <v>0</v>
      </c>
      <c r="K127" s="348"/>
      <c r="L127" s="348" t="s">
        <v>4</v>
      </c>
      <c r="M127" s="348" t="s">
        <v>983</v>
      </c>
      <c r="N127" s="348" t="s">
        <v>1246</v>
      </c>
      <c r="O127" s="348" t="s">
        <v>975</v>
      </c>
      <c r="P127" s="348" t="s">
        <v>393</v>
      </c>
      <c r="Q127" s="348" t="s">
        <v>975</v>
      </c>
      <c r="R127" s="348"/>
      <c r="S127" s="348" t="s">
        <v>390</v>
      </c>
      <c r="T127" s="348" t="s">
        <v>394</v>
      </c>
      <c r="U127" s="348" t="s">
        <v>40</v>
      </c>
      <c r="V127" s="348" t="s">
        <v>983</v>
      </c>
      <c r="W127" s="348" t="s">
        <v>75</v>
      </c>
      <c r="X127" s="348">
        <f t="shared" si="1"/>
        <v>10</v>
      </c>
    </row>
    <row r="128" spans="1:24" ht="165.6" x14ac:dyDescent="0.3">
      <c r="A128" s="348" t="s">
        <v>379</v>
      </c>
      <c r="B128" s="348" t="s">
        <v>1100</v>
      </c>
      <c r="C128" s="348">
        <v>0</v>
      </c>
      <c r="D128" s="348">
        <v>0</v>
      </c>
      <c r="E128" s="348">
        <v>1</v>
      </c>
      <c r="F128" s="348">
        <v>0</v>
      </c>
      <c r="G128" s="348">
        <v>0</v>
      </c>
      <c r="H128" s="348">
        <v>0</v>
      </c>
      <c r="I128" s="348">
        <v>0</v>
      </c>
      <c r="J128" s="348">
        <v>1</v>
      </c>
      <c r="K128" s="348"/>
      <c r="L128" s="348" t="s">
        <v>4</v>
      </c>
      <c r="M128" s="348" t="s">
        <v>983</v>
      </c>
      <c r="N128" s="348" t="s">
        <v>1246</v>
      </c>
      <c r="O128" s="348" t="s">
        <v>975</v>
      </c>
      <c r="P128" s="348" t="s">
        <v>975</v>
      </c>
      <c r="Q128" s="348" t="s">
        <v>403</v>
      </c>
      <c r="R128" s="348"/>
      <c r="S128" s="348" t="s">
        <v>1305</v>
      </c>
      <c r="T128" s="348" t="s">
        <v>1306</v>
      </c>
      <c r="U128" s="348" t="s">
        <v>148</v>
      </c>
      <c r="V128" s="348" t="s">
        <v>983</v>
      </c>
      <c r="W128" s="348" t="s">
        <v>75</v>
      </c>
      <c r="X128" s="348">
        <f t="shared" si="1"/>
        <v>10</v>
      </c>
    </row>
    <row r="129" spans="1:24" ht="408.9" customHeight="1" x14ac:dyDescent="0.3">
      <c r="A129" s="348" t="s">
        <v>385</v>
      </c>
      <c r="B129" s="348" t="s">
        <v>404</v>
      </c>
      <c r="C129" s="348">
        <v>0</v>
      </c>
      <c r="D129" s="348">
        <v>0</v>
      </c>
      <c r="E129" s="348">
        <v>1</v>
      </c>
      <c r="F129" s="348">
        <v>0</v>
      </c>
      <c r="G129" s="348">
        <v>0</v>
      </c>
      <c r="H129" s="348">
        <v>0</v>
      </c>
      <c r="I129" s="348">
        <v>0</v>
      </c>
      <c r="J129" s="348">
        <v>0</v>
      </c>
      <c r="K129" s="348"/>
      <c r="L129" s="348" t="s">
        <v>4</v>
      </c>
      <c r="M129" s="348" t="s">
        <v>983</v>
      </c>
      <c r="N129" s="348" t="s">
        <v>1246</v>
      </c>
      <c r="O129" s="348" t="s">
        <v>975</v>
      </c>
      <c r="P129" s="348" t="s">
        <v>975</v>
      </c>
      <c r="Q129" s="348" t="s">
        <v>405</v>
      </c>
      <c r="R129" s="348"/>
      <c r="S129" s="348" t="s">
        <v>1394</v>
      </c>
      <c r="T129" s="348" t="s">
        <v>406</v>
      </c>
      <c r="U129" s="348" t="s">
        <v>40</v>
      </c>
      <c r="V129" s="348" t="s">
        <v>983</v>
      </c>
      <c r="W129" s="348" t="s">
        <v>75</v>
      </c>
      <c r="X129" s="348">
        <f t="shared" si="1"/>
        <v>10</v>
      </c>
    </row>
    <row r="130" spans="1:24" ht="294" customHeight="1" x14ac:dyDescent="0.3">
      <c r="A130" s="348" t="s">
        <v>387</v>
      </c>
      <c r="B130" s="348" t="s">
        <v>1183</v>
      </c>
      <c r="C130" s="348">
        <v>0</v>
      </c>
      <c r="D130" s="348">
        <v>0</v>
      </c>
      <c r="E130" s="348">
        <v>1</v>
      </c>
      <c r="F130" s="348">
        <v>0</v>
      </c>
      <c r="G130" s="348">
        <v>0</v>
      </c>
      <c r="H130" s="348">
        <v>0</v>
      </c>
      <c r="I130" s="348">
        <v>0</v>
      </c>
      <c r="J130" s="348">
        <v>0</v>
      </c>
      <c r="K130" s="348"/>
      <c r="L130" s="348" t="s">
        <v>4</v>
      </c>
      <c r="M130" s="348" t="s">
        <v>983</v>
      </c>
      <c r="N130" s="348" t="s">
        <v>1246</v>
      </c>
      <c r="O130" s="348" t="s">
        <v>975</v>
      </c>
      <c r="P130" s="348" t="s">
        <v>326</v>
      </c>
      <c r="Q130" s="348" t="s">
        <v>327</v>
      </c>
      <c r="R130" s="348"/>
      <c r="S130" s="348" t="s">
        <v>1307</v>
      </c>
      <c r="T130" s="348" t="s">
        <v>328</v>
      </c>
      <c r="U130" s="348" t="s">
        <v>40</v>
      </c>
      <c r="V130" s="348" t="s">
        <v>983</v>
      </c>
      <c r="W130" s="348" t="s">
        <v>41</v>
      </c>
      <c r="X130" s="348">
        <f t="shared" si="1"/>
        <v>5</v>
      </c>
    </row>
    <row r="131" spans="1:24" ht="220.5" customHeight="1" x14ac:dyDescent="0.3">
      <c r="A131" s="348" t="s">
        <v>392</v>
      </c>
      <c r="B131" s="348" t="s">
        <v>353</v>
      </c>
      <c r="C131" s="348">
        <v>0</v>
      </c>
      <c r="D131" s="348">
        <v>0</v>
      </c>
      <c r="E131" s="348">
        <v>1</v>
      </c>
      <c r="F131" s="348">
        <v>0</v>
      </c>
      <c r="G131" s="348">
        <v>0</v>
      </c>
      <c r="H131" s="348">
        <v>0</v>
      </c>
      <c r="I131" s="348">
        <v>0</v>
      </c>
      <c r="J131" s="348">
        <v>1</v>
      </c>
      <c r="K131" s="348"/>
      <c r="L131" s="348" t="s">
        <v>4</v>
      </c>
      <c r="M131" s="348" t="s">
        <v>983</v>
      </c>
      <c r="N131" s="348" t="s">
        <v>1246</v>
      </c>
      <c r="O131" s="348" t="s">
        <v>975</v>
      </c>
      <c r="P131" s="348" t="s">
        <v>354</v>
      </c>
      <c r="Q131" s="348" t="s">
        <v>1883</v>
      </c>
      <c r="R131" s="348"/>
      <c r="S131" s="348" t="s">
        <v>1308</v>
      </c>
      <c r="T131" s="348" t="s">
        <v>1300</v>
      </c>
      <c r="U131" s="348" t="s">
        <v>40</v>
      </c>
      <c r="V131" s="348" t="s">
        <v>983</v>
      </c>
      <c r="W131" s="348" t="s">
        <v>41</v>
      </c>
      <c r="X131" s="348">
        <f t="shared" si="1"/>
        <v>5</v>
      </c>
    </row>
    <row r="132" spans="1:24" ht="124.2" x14ac:dyDescent="0.3">
      <c r="A132" s="348" t="s">
        <v>395</v>
      </c>
      <c r="B132" s="348" t="s">
        <v>360</v>
      </c>
      <c r="C132" s="348">
        <v>0</v>
      </c>
      <c r="D132" s="348">
        <v>0</v>
      </c>
      <c r="E132" s="348">
        <v>1</v>
      </c>
      <c r="F132" s="348">
        <v>0</v>
      </c>
      <c r="G132" s="348">
        <v>0</v>
      </c>
      <c r="H132" s="348">
        <v>0</v>
      </c>
      <c r="I132" s="348">
        <v>0</v>
      </c>
      <c r="J132" s="348">
        <v>1</v>
      </c>
      <c r="K132" s="348"/>
      <c r="L132" s="348" t="s">
        <v>4</v>
      </c>
      <c r="M132" s="348" t="s">
        <v>983</v>
      </c>
      <c r="N132" s="348" t="s">
        <v>1246</v>
      </c>
      <c r="O132" s="348" t="s">
        <v>975</v>
      </c>
      <c r="P132" s="348" t="s">
        <v>361</v>
      </c>
      <c r="Q132" s="348" t="s">
        <v>362</v>
      </c>
      <c r="R132" s="348"/>
      <c r="S132" s="348" t="s">
        <v>358</v>
      </c>
      <c r="T132" s="348" t="s">
        <v>1300</v>
      </c>
      <c r="U132" s="348" t="s">
        <v>40</v>
      </c>
      <c r="V132" s="348" t="s">
        <v>983</v>
      </c>
      <c r="W132" s="348" t="s">
        <v>41</v>
      </c>
      <c r="X132" s="348">
        <f t="shared" si="1"/>
        <v>5</v>
      </c>
    </row>
    <row r="133" spans="1:24" ht="165.6" x14ac:dyDescent="0.3">
      <c r="A133" s="348" t="s">
        <v>398</v>
      </c>
      <c r="B133" s="348" t="s">
        <v>364</v>
      </c>
      <c r="C133" s="348">
        <v>0</v>
      </c>
      <c r="D133" s="348">
        <v>0</v>
      </c>
      <c r="E133" s="348">
        <v>1</v>
      </c>
      <c r="F133" s="348">
        <v>0</v>
      </c>
      <c r="G133" s="348">
        <v>0</v>
      </c>
      <c r="H133" s="348">
        <v>0</v>
      </c>
      <c r="I133" s="348">
        <v>0</v>
      </c>
      <c r="J133" s="348">
        <v>1</v>
      </c>
      <c r="K133" s="348"/>
      <c r="L133" s="348" t="s">
        <v>4</v>
      </c>
      <c r="M133" s="348" t="s">
        <v>983</v>
      </c>
      <c r="N133" s="348" t="s">
        <v>1246</v>
      </c>
      <c r="O133" s="348" t="s">
        <v>365</v>
      </c>
      <c r="P133" s="348" t="s">
        <v>366</v>
      </c>
      <c r="Q133" s="348" t="s">
        <v>367</v>
      </c>
      <c r="R133" s="348"/>
      <c r="S133" s="348" t="s">
        <v>368</v>
      </c>
      <c r="T133" s="348" t="s">
        <v>1309</v>
      </c>
      <c r="U133" s="348" t="s">
        <v>40</v>
      </c>
      <c r="V133" s="348" t="s">
        <v>983</v>
      </c>
      <c r="W133" s="348" t="s">
        <v>41</v>
      </c>
      <c r="X133" s="348">
        <f t="shared" si="1"/>
        <v>5</v>
      </c>
    </row>
    <row r="134" spans="1:24" ht="220.8" x14ac:dyDescent="0.3">
      <c r="A134" s="348" t="s">
        <v>402</v>
      </c>
      <c r="B134" s="348" t="s">
        <v>1101</v>
      </c>
      <c r="C134" s="348">
        <v>0</v>
      </c>
      <c r="D134" s="348">
        <v>0</v>
      </c>
      <c r="E134" s="348">
        <v>1</v>
      </c>
      <c r="F134" s="348">
        <v>0</v>
      </c>
      <c r="G134" s="348">
        <v>0</v>
      </c>
      <c r="H134" s="348">
        <v>0</v>
      </c>
      <c r="I134" s="348">
        <v>0</v>
      </c>
      <c r="J134" s="348">
        <v>0</v>
      </c>
      <c r="K134" s="348"/>
      <c r="L134" s="348" t="s">
        <v>4</v>
      </c>
      <c r="M134" s="348" t="s">
        <v>983</v>
      </c>
      <c r="N134" s="348" t="s">
        <v>1246</v>
      </c>
      <c r="O134" s="348" t="s">
        <v>386</v>
      </c>
      <c r="P134" s="348" t="s">
        <v>386</v>
      </c>
      <c r="Q134" s="348" t="s">
        <v>386</v>
      </c>
      <c r="R134" s="348"/>
      <c r="S134" s="348" t="s">
        <v>1310</v>
      </c>
      <c r="T134" s="348" t="s">
        <v>1311</v>
      </c>
      <c r="U134" s="348" t="s">
        <v>40</v>
      </c>
      <c r="V134" s="348" t="s">
        <v>983</v>
      </c>
      <c r="W134" s="348" t="s">
        <v>41</v>
      </c>
      <c r="X134" s="348">
        <f t="shared" si="1"/>
        <v>5</v>
      </c>
    </row>
    <row r="135" spans="1:24" ht="248.4" x14ac:dyDescent="0.3">
      <c r="A135" s="225" t="s">
        <v>407</v>
      </c>
      <c r="B135" s="348" t="s">
        <v>408</v>
      </c>
      <c r="C135" s="348">
        <v>0</v>
      </c>
      <c r="D135" s="348">
        <v>0</v>
      </c>
      <c r="E135" s="348">
        <v>0</v>
      </c>
      <c r="F135" s="348">
        <v>1</v>
      </c>
      <c r="G135" s="348">
        <v>0</v>
      </c>
      <c r="H135" s="348">
        <v>0</v>
      </c>
      <c r="I135" s="348">
        <v>0</v>
      </c>
      <c r="J135" s="348">
        <v>1</v>
      </c>
      <c r="K135" s="348"/>
      <c r="L135" s="348" t="s">
        <v>1004</v>
      </c>
      <c r="M135" s="348" t="s">
        <v>983</v>
      </c>
      <c r="N135" s="348" t="s">
        <v>1312</v>
      </c>
      <c r="O135" s="348" t="s">
        <v>409</v>
      </c>
      <c r="P135" s="348" t="s">
        <v>409</v>
      </c>
      <c r="Q135" s="348" t="s">
        <v>409</v>
      </c>
      <c r="R135" s="348"/>
      <c r="S135" s="348" t="s">
        <v>410</v>
      </c>
      <c r="T135" s="348" t="s">
        <v>411</v>
      </c>
      <c r="U135" s="348" t="s">
        <v>1004</v>
      </c>
      <c r="V135" s="348" t="s">
        <v>983</v>
      </c>
      <c r="W135" s="348"/>
      <c r="X135" s="348"/>
    </row>
    <row r="136" spans="1:24" ht="386.4" x14ac:dyDescent="0.3">
      <c r="A136" s="348" t="s">
        <v>412</v>
      </c>
      <c r="B136" s="348" t="s">
        <v>1459</v>
      </c>
      <c r="C136" s="348">
        <v>0</v>
      </c>
      <c r="D136" s="348">
        <v>0</v>
      </c>
      <c r="E136" s="348">
        <v>0</v>
      </c>
      <c r="F136" s="348">
        <v>1</v>
      </c>
      <c r="G136" s="348">
        <v>0</v>
      </c>
      <c r="H136" s="348">
        <v>0</v>
      </c>
      <c r="I136" s="348">
        <v>0</v>
      </c>
      <c r="J136" s="348">
        <v>0</v>
      </c>
      <c r="K136" s="348"/>
      <c r="L136" s="348" t="s">
        <v>162</v>
      </c>
      <c r="M136" s="348" t="s">
        <v>983</v>
      </c>
      <c r="N136" s="348" t="s">
        <v>975</v>
      </c>
      <c r="O136" s="348" t="s">
        <v>975</v>
      </c>
      <c r="P136" s="348" t="s">
        <v>975</v>
      </c>
      <c r="Q136" s="348" t="s">
        <v>413</v>
      </c>
      <c r="R136" s="348"/>
      <c r="S136" s="348" t="s">
        <v>1313</v>
      </c>
      <c r="T136" s="348" t="s">
        <v>1314</v>
      </c>
      <c r="U136" s="348" t="s">
        <v>40</v>
      </c>
      <c r="V136" s="348" t="s">
        <v>983</v>
      </c>
      <c r="W136" s="348" t="s">
        <v>75</v>
      </c>
      <c r="X136" s="348">
        <f t="shared" si="1"/>
        <v>10</v>
      </c>
    </row>
    <row r="137" spans="1:24" ht="339.75" customHeight="1" x14ac:dyDescent="0.3">
      <c r="A137" s="225" t="s">
        <v>414</v>
      </c>
      <c r="B137" s="348" t="s">
        <v>1102</v>
      </c>
      <c r="C137" s="348">
        <v>0</v>
      </c>
      <c r="D137" s="348">
        <v>0</v>
      </c>
      <c r="E137" s="348">
        <v>0</v>
      </c>
      <c r="F137" s="348">
        <v>1</v>
      </c>
      <c r="G137" s="348">
        <v>0</v>
      </c>
      <c r="H137" s="348">
        <v>0</v>
      </c>
      <c r="I137" s="348">
        <v>0</v>
      </c>
      <c r="J137" s="348">
        <v>1</v>
      </c>
      <c r="K137" s="348"/>
      <c r="L137" s="348" t="s">
        <v>162</v>
      </c>
      <c r="M137" s="348" t="s">
        <v>983</v>
      </c>
      <c r="N137" s="348" t="s">
        <v>975</v>
      </c>
      <c r="O137" s="348" t="s">
        <v>415</v>
      </c>
      <c r="P137" s="348" t="s">
        <v>416</v>
      </c>
      <c r="Q137" s="348" t="s">
        <v>415</v>
      </c>
      <c r="R137" s="348"/>
      <c r="S137" s="348" t="s">
        <v>1315</v>
      </c>
      <c r="T137" s="348" t="s">
        <v>1316</v>
      </c>
      <c r="U137" s="348" t="s">
        <v>40</v>
      </c>
      <c r="V137" s="348" t="s">
        <v>983</v>
      </c>
      <c r="W137" s="348" t="s">
        <v>75</v>
      </c>
      <c r="X137" s="348">
        <f t="shared" si="1"/>
        <v>10</v>
      </c>
    </row>
    <row r="138" spans="1:24" ht="186" customHeight="1" x14ac:dyDescent="0.3">
      <c r="A138" s="348" t="s">
        <v>417</v>
      </c>
      <c r="B138" s="348" t="s">
        <v>418</v>
      </c>
      <c r="C138" s="348">
        <v>0</v>
      </c>
      <c r="D138" s="348">
        <v>0</v>
      </c>
      <c r="E138" s="348">
        <v>0</v>
      </c>
      <c r="F138" s="348">
        <v>1</v>
      </c>
      <c r="G138" s="348">
        <v>0</v>
      </c>
      <c r="H138" s="348">
        <v>0</v>
      </c>
      <c r="I138" s="348">
        <v>0</v>
      </c>
      <c r="J138" s="348">
        <v>0</v>
      </c>
      <c r="K138" s="348"/>
      <c r="L138" s="348" t="s">
        <v>162</v>
      </c>
      <c r="M138" s="348" t="s">
        <v>983</v>
      </c>
      <c r="N138" s="348" t="s">
        <v>975</v>
      </c>
      <c r="O138" s="348" t="s">
        <v>975</v>
      </c>
      <c r="P138" s="348" t="s">
        <v>419</v>
      </c>
      <c r="Q138" s="348" t="s">
        <v>420</v>
      </c>
      <c r="R138" s="348"/>
      <c r="S138" s="348" t="s">
        <v>1395</v>
      </c>
      <c r="T138" s="348" t="s">
        <v>421</v>
      </c>
      <c r="U138" s="348" t="s">
        <v>40</v>
      </c>
      <c r="V138" s="348" t="s">
        <v>983</v>
      </c>
      <c r="W138" s="348" t="s">
        <v>75</v>
      </c>
      <c r="X138" s="348">
        <f t="shared" si="1"/>
        <v>10</v>
      </c>
    </row>
    <row r="139" spans="1:24" ht="165.6" x14ac:dyDescent="0.3">
      <c r="A139" s="225" t="s">
        <v>422</v>
      </c>
      <c r="B139" s="348" t="s">
        <v>1464</v>
      </c>
      <c r="C139" s="348">
        <v>0</v>
      </c>
      <c r="D139" s="348">
        <v>0</v>
      </c>
      <c r="E139" s="348">
        <v>0</v>
      </c>
      <c r="F139" s="348">
        <v>1</v>
      </c>
      <c r="G139" s="348">
        <v>0</v>
      </c>
      <c r="H139" s="348">
        <v>0</v>
      </c>
      <c r="I139" s="348">
        <v>0</v>
      </c>
      <c r="J139" s="348">
        <v>0</v>
      </c>
      <c r="K139" s="348"/>
      <c r="L139" s="348" t="s">
        <v>162</v>
      </c>
      <c r="M139" s="348" t="s">
        <v>983</v>
      </c>
      <c r="N139" s="348" t="s">
        <v>975</v>
      </c>
      <c r="O139" s="348" t="s">
        <v>975</v>
      </c>
      <c r="P139" s="348" t="s">
        <v>1103</v>
      </c>
      <c r="Q139" s="348" t="s">
        <v>423</v>
      </c>
      <c r="R139" s="348"/>
      <c r="S139" s="348" t="s">
        <v>1317</v>
      </c>
      <c r="T139" s="348" t="s">
        <v>424</v>
      </c>
      <c r="U139" s="348" t="s">
        <v>40</v>
      </c>
      <c r="V139" s="348" t="s">
        <v>983</v>
      </c>
      <c r="W139" s="348" t="s">
        <v>75</v>
      </c>
      <c r="X139" s="348">
        <f t="shared" si="1"/>
        <v>10</v>
      </c>
    </row>
    <row r="140" spans="1:24" ht="165.6" x14ac:dyDescent="0.3">
      <c r="A140" s="360" t="s">
        <v>425</v>
      </c>
      <c r="B140" s="360" t="s">
        <v>1005</v>
      </c>
      <c r="C140" s="348">
        <v>0</v>
      </c>
      <c r="D140" s="348">
        <v>0</v>
      </c>
      <c r="E140" s="348">
        <v>0</v>
      </c>
      <c r="F140" s="348">
        <v>1</v>
      </c>
      <c r="G140" s="348">
        <v>0</v>
      </c>
      <c r="H140" s="348">
        <v>0</v>
      </c>
      <c r="I140" s="348">
        <v>0</v>
      </c>
      <c r="J140" s="348">
        <v>0</v>
      </c>
      <c r="K140" s="348"/>
      <c r="L140" s="348" t="s">
        <v>162</v>
      </c>
      <c r="M140" s="348" t="s">
        <v>983</v>
      </c>
      <c r="N140" s="348" t="s">
        <v>975</v>
      </c>
      <c r="O140" s="348" t="s">
        <v>975</v>
      </c>
      <c r="P140" s="348" t="s">
        <v>426</v>
      </c>
      <c r="Q140" s="348" t="s">
        <v>975</v>
      </c>
      <c r="R140" s="348"/>
      <c r="S140" s="348" t="s">
        <v>1317</v>
      </c>
      <c r="T140" s="348" t="s">
        <v>424</v>
      </c>
      <c r="U140" s="348" t="s">
        <v>40</v>
      </c>
      <c r="V140" s="348" t="s">
        <v>983</v>
      </c>
      <c r="W140" s="348" t="s">
        <v>46</v>
      </c>
      <c r="X140" s="348">
        <f t="shared" ref="X140:X203" si="2">IF($W140="Critical Importance",20,IF($W140="Minor Importance",5,10))</f>
        <v>20</v>
      </c>
    </row>
    <row r="141" spans="1:24" ht="214.5" customHeight="1" x14ac:dyDescent="0.3">
      <c r="A141" s="225" t="s">
        <v>427</v>
      </c>
      <c r="B141" s="348" t="s">
        <v>428</v>
      </c>
      <c r="C141" s="348">
        <v>0</v>
      </c>
      <c r="D141" s="348">
        <v>0</v>
      </c>
      <c r="E141" s="348">
        <v>0</v>
      </c>
      <c r="F141" s="348">
        <v>1</v>
      </c>
      <c r="G141" s="348">
        <v>0</v>
      </c>
      <c r="H141" s="348">
        <v>0</v>
      </c>
      <c r="I141" s="348">
        <v>0</v>
      </c>
      <c r="J141" s="348">
        <v>0</v>
      </c>
      <c r="K141" s="348"/>
      <c r="L141" s="348" t="s">
        <v>162</v>
      </c>
      <c r="M141" s="348" t="s">
        <v>983</v>
      </c>
      <c r="N141" s="348" t="s">
        <v>975</v>
      </c>
      <c r="O141" s="348" t="s">
        <v>975</v>
      </c>
      <c r="P141" s="348" t="s">
        <v>429</v>
      </c>
      <c r="Q141" s="348" t="s">
        <v>430</v>
      </c>
      <c r="R141" s="348"/>
      <c r="S141" s="348" t="s">
        <v>1318</v>
      </c>
      <c r="T141" s="348" t="s">
        <v>431</v>
      </c>
      <c r="U141" s="348" t="s">
        <v>40</v>
      </c>
      <c r="V141" s="348" t="s">
        <v>983</v>
      </c>
      <c r="W141" s="348" t="s">
        <v>75</v>
      </c>
      <c r="X141" s="348">
        <f t="shared" si="2"/>
        <v>10</v>
      </c>
    </row>
    <row r="142" spans="1:24" ht="69" x14ac:dyDescent="0.3">
      <c r="A142" s="348" t="s">
        <v>432</v>
      </c>
      <c r="B142" s="348" t="s">
        <v>435</v>
      </c>
      <c r="C142" s="348">
        <v>0</v>
      </c>
      <c r="D142" s="348">
        <v>0</v>
      </c>
      <c r="E142" s="348">
        <v>0</v>
      </c>
      <c r="F142" s="348">
        <v>1</v>
      </c>
      <c r="G142" s="348">
        <v>0</v>
      </c>
      <c r="H142" s="348">
        <v>0</v>
      </c>
      <c r="I142" s="348">
        <v>0</v>
      </c>
      <c r="J142" s="348">
        <v>0</v>
      </c>
      <c r="K142" s="348"/>
      <c r="L142" s="348" t="s">
        <v>162</v>
      </c>
      <c r="M142" s="348" t="s">
        <v>983</v>
      </c>
      <c r="N142" s="348" t="s">
        <v>975</v>
      </c>
      <c r="O142" s="348" t="s">
        <v>975</v>
      </c>
      <c r="P142" s="348" t="s">
        <v>436</v>
      </c>
      <c r="Q142" s="348" t="s">
        <v>437</v>
      </c>
      <c r="R142" s="348"/>
      <c r="S142" s="348" t="s">
        <v>438</v>
      </c>
      <c r="T142" s="348" t="s">
        <v>1319</v>
      </c>
      <c r="U142" s="348" t="s">
        <v>40</v>
      </c>
      <c r="V142" s="348" t="s">
        <v>983</v>
      </c>
      <c r="W142" s="348" t="s">
        <v>75</v>
      </c>
      <c r="X142" s="348">
        <f t="shared" si="2"/>
        <v>10</v>
      </c>
    </row>
    <row r="143" spans="1:24" ht="69" x14ac:dyDescent="0.3">
      <c r="A143" s="225" t="s">
        <v>433</v>
      </c>
      <c r="B143" s="348" t="s">
        <v>440</v>
      </c>
      <c r="C143" s="348">
        <v>0</v>
      </c>
      <c r="D143" s="348">
        <v>0</v>
      </c>
      <c r="E143" s="348">
        <v>0</v>
      </c>
      <c r="F143" s="348">
        <v>1</v>
      </c>
      <c r="G143" s="348">
        <v>0</v>
      </c>
      <c r="H143" s="348">
        <v>0</v>
      </c>
      <c r="I143" s="348">
        <v>0</v>
      </c>
      <c r="J143" s="348">
        <v>0</v>
      </c>
      <c r="K143" s="348"/>
      <c r="L143" s="348" t="s">
        <v>162</v>
      </c>
      <c r="M143" s="348" t="s">
        <v>983</v>
      </c>
      <c r="N143" s="348" t="s">
        <v>975</v>
      </c>
      <c r="O143" s="348" t="s">
        <v>975</v>
      </c>
      <c r="P143" s="348" t="s">
        <v>441</v>
      </c>
      <c r="Q143" s="348" t="s">
        <v>1884</v>
      </c>
      <c r="R143" s="348"/>
      <c r="S143" s="348" t="s">
        <v>438</v>
      </c>
      <c r="T143" s="348" t="s">
        <v>1319</v>
      </c>
      <c r="U143" s="348" t="s">
        <v>40</v>
      </c>
      <c r="V143" s="348" t="s">
        <v>983</v>
      </c>
      <c r="W143" s="348" t="s">
        <v>75</v>
      </c>
      <c r="X143" s="348">
        <f t="shared" si="2"/>
        <v>10</v>
      </c>
    </row>
    <row r="144" spans="1:24" ht="192.75" customHeight="1" x14ac:dyDescent="0.3">
      <c r="A144" s="360" t="s">
        <v>434</v>
      </c>
      <c r="B144" s="360" t="s">
        <v>1006</v>
      </c>
      <c r="C144" s="348">
        <v>0</v>
      </c>
      <c r="D144" s="348">
        <v>0</v>
      </c>
      <c r="E144" s="348">
        <v>0</v>
      </c>
      <c r="F144" s="348">
        <v>1</v>
      </c>
      <c r="G144" s="348">
        <v>0</v>
      </c>
      <c r="H144" s="348">
        <v>0</v>
      </c>
      <c r="I144" s="348">
        <v>0</v>
      </c>
      <c r="J144" s="348">
        <v>0</v>
      </c>
      <c r="K144" s="348"/>
      <c r="L144" s="348" t="s">
        <v>162</v>
      </c>
      <c r="M144" s="348" t="s">
        <v>983</v>
      </c>
      <c r="N144" s="348" t="s">
        <v>975</v>
      </c>
      <c r="O144" s="348" t="s">
        <v>975</v>
      </c>
      <c r="P144" s="348" t="s">
        <v>443</v>
      </c>
      <c r="Q144" s="348" t="s">
        <v>444</v>
      </c>
      <c r="R144" s="348"/>
      <c r="S144" s="348" t="s">
        <v>1104</v>
      </c>
      <c r="T144" s="348" t="s">
        <v>445</v>
      </c>
      <c r="U144" s="348" t="s">
        <v>40</v>
      </c>
      <c r="V144" s="348" t="s">
        <v>983</v>
      </c>
      <c r="W144" s="348" t="s">
        <v>46</v>
      </c>
      <c r="X144" s="348">
        <f t="shared" si="2"/>
        <v>20</v>
      </c>
    </row>
    <row r="145" spans="1:24" ht="124.2" x14ac:dyDescent="0.3">
      <c r="A145" s="225" t="s">
        <v>439</v>
      </c>
      <c r="B145" s="348" t="s">
        <v>1471</v>
      </c>
      <c r="C145" s="348">
        <v>0</v>
      </c>
      <c r="D145" s="348">
        <v>0</v>
      </c>
      <c r="E145" s="348">
        <v>0</v>
      </c>
      <c r="F145" s="348">
        <v>1</v>
      </c>
      <c r="G145" s="348">
        <v>0</v>
      </c>
      <c r="H145" s="348">
        <v>0</v>
      </c>
      <c r="I145" s="348">
        <v>0</v>
      </c>
      <c r="J145" s="348">
        <v>0</v>
      </c>
      <c r="K145" s="348"/>
      <c r="L145" s="348" t="s">
        <v>162</v>
      </c>
      <c r="M145" s="348" t="s">
        <v>983</v>
      </c>
      <c r="N145" s="348" t="s">
        <v>975</v>
      </c>
      <c r="O145" s="348"/>
      <c r="P145" s="348" t="s">
        <v>975</v>
      </c>
      <c r="Q145" s="348" t="s">
        <v>975</v>
      </c>
      <c r="R145" s="348"/>
      <c r="S145" s="348" t="s">
        <v>1105</v>
      </c>
      <c r="T145" s="348" t="s">
        <v>447</v>
      </c>
      <c r="U145" s="348" t="s">
        <v>40</v>
      </c>
      <c r="V145" s="348" t="s">
        <v>983</v>
      </c>
      <c r="W145" s="348" t="s">
        <v>75</v>
      </c>
      <c r="X145" s="348">
        <f t="shared" si="2"/>
        <v>10</v>
      </c>
    </row>
    <row r="146" spans="1:24" ht="69" x14ac:dyDescent="0.3">
      <c r="A146" s="348" t="s">
        <v>442</v>
      </c>
      <c r="B146" s="348" t="s">
        <v>449</v>
      </c>
      <c r="C146" s="348">
        <v>0</v>
      </c>
      <c r="D146" s="348">
        <v>0</v>
      </c>
      <c r="E146" s="348">
        <v>0</v>
      </c>
      <c r="F146" s="348">
        <v>1</v>
      </c>
      <c r="G146" s="348">
        <v>0</v>
      </c>
      <c r="H146" s="348">
        <v>0</v>
      </c>
      <c r="I146" s="348">
        <v>0</v>
      </c>
      <c r="J146" s="348">
        <v>0</v>
      </c>
      <c r="K146" s="348"/>
      <c r="L146" s="348" t="s">
        <v>162</v>
      </c>
      <c r="M146" s="348" t="s">
        <v>983</v>
      </c>
      <c r="N146" s="348" t="s">
        <v>975</v>
      </c>
      <c r="O146" s="348" t="s">
        <v>450</v>
      </c>
      <c r="P146" s="348" t="s">
        <v>450</v>
      </c>
      <c r="Q146" s="348" t="s">
        <v>451</v>
      </c>
      <c r="R146" s="348"/>
      <c r="S146" s="348" t="s">
        <v>438</v>
      </c>
      <c r="T146" s="348" t="s">
        <v>1319</v>
      </c>
      <c r="U146" s="348" t="s">
        <v>40</v>
      </c>
      <c r="V146" s="348" t="s">
        <v>983</v>
      </c>
      <c r="W146" s="348" t="s">
        <v>75</v>
      </c>
      <c r="X146" s="348">
        <f t="shared" si="2"/>
        <v>10</v>
      </c>
    </row>
    <row r="147" spans="1:24" ht="69" x14ac:dyDescent="0.3">
      <c r="A147" s="225" t="s">
        <v>446</v>
      </c>
      <c r="B147" s="348" t="s">
        <v>453</v>
      </c>
      <c r="C147" s="348">
        <v>0</v>
      </c>
      <c r="D147" s="348">
        <v>0</v>
      </c>
      <c r="E147" s="348">
        <v>0</v>
      </c>
      <c r="F147" s="348">
        <v>1</v>
      </c>
      <c r="G147" s="348">
        <v>0</v>
      </c>
      <c r="H147" s="348">
        <v>0</v>
      </c>
      <c r="I147" s="348">
        <v>0</v>
      </c>
      <c r="J147" s="348">
        <v>0</v>
      </c>
      <c r="K147" s="348"/>
      <c r="L147" s="348" t="s">
        <v>162</v>
      </c>
      <c r="M147" s="348" t="s">
        <v>983</v>
      </c>
      <c r="N147" s="348" t="s">
        <v>975</v>
      </c>
      <c r="O147" s="348" t="s">
        <v>975</v>
      </c>
      <c r="P147" s="348" t="s">
        <v>454</v>
      </c>
      <c r="Q147" s="348" t="s">
        <v>455</v>
      </c>
      <c r="R147" s="348"/>
      <c r="S147" s="348" t="s">
        <v>438</v>
      </c>
      <c r="T147" s="348" t="s">
        <v>1319</v>
      </c>
      <c r="U147" s="348" t="s">
        <v>40</v>
      </c>
      <c r="V147" s="348" t="s">
        <v>983</v>
      </c>
      <c r="W147" s="348" t="s">
        <v>75</v>
      </c>
      <c r="X147" s="348">
        <f t="shared" si="2"/>
        <v>10</v>
      </c>
    </row>
    <row r="148" spans="1:24" ht="110.4" x14ac:dyDescent="0.3">
      <c r="A148" s="348" t="s">
        <v>448</v>
      </c>
      <c r="B148" s="348" t="s">
        <v>1460</v>
      </c>
      <c r="C148" s="348">
        <v>0</v>
      </c>
      <c r="D148" s="348">
        <v>0</v>
      </c>
      <c r="E148" s="348">
        <v>0</v>
      </c>
      <c r="F148" s="348">
        <v>1</v>
      </c>
      <c r="G148" s="348">
        <v>0</v>
      </c>
      <c r="H148" s="348">
        <v>0</v>
      </c>
      <c r="I148" s="348">
        <v>0</v>
      </c>
      <c r="J148" s="348">
        <v>0</v>
      </c>
      <c r="K148" s="348"/>
      <c r="L148" s="348" t="s">
        <v>162</v>
      </c>
      <c r="M148" s="348" t="s">
        <v>983</v>
      </c>
      <c r="N148" s="348" t="s">
        <v>975</v>
      </c>
      <c r="O148" s="348" t="s">
        <v>975</v>
      </c>
      <c r="P148" s="348" t="s">
        <v>457</v>
      </c>
      <c r="Q148" s="348" t="s">
        <v>458</v>
      </c>
      <c r="R148" s="348"/>
      <c r="S148" s="348" t="s">
        <v>254</v>
      </c>
      <c r="T148" s="348" t="s">
        <v>1274</v>
      </c>
      <c r="U148" s="348" t="s">
        <v>40</v>
      </c>
      <c r="V148" s="348" t="s">
        <v>983</v>
      </c>
      <c r="W148" s="348" t="s">
        <v>75</v>
      </c>
      <c r="X148" s="348">
        <f t="shared" si="2"/>
        <v>10</v>
      </c>
    </row>
    <row r="149" spans="1:24" ht="55.2" x14ac:dyDescent="0.3">
      <c r="A149" s="225" t="s">
        <v>452</v>
      </c>
      <c r="B149" s="348" t="s">
        <v>1106</v>
      </c>
      <c r="C149" s="348">
        <v>0</v>
      </c>
      <c r="D149" s="348">
        <v>0</v>
      </c>
      <c r="E149" s="348">
        <v>0</v>
      </c>
      <c r="F149" s="348">
        <v>1</v>
      </c>
      <c r="G149" s="348">
        <v>0</v>
      </c>
      <c r="H149" s="348">
        <v>0</v>
      </c>
      <c r="I149" s="348">
        <v>0</v>
      </c>
      <c r="J149" s="348">
        <v>0</v>
      </c>
      <c r="K149" s="348"/>
      <c r="L149" s="348" t="s">
        <v>162</v>
      </c>
      <c r="M149" s="348" t="s">
        <v>983</v>
      </c>
      <c r="N149" s="348" t="s">
        <v>975</v>
      </c>
      <c r="O149" s="348" t="s">
        <v>975</v>
      </c>
      <c r="P149" s="348" t="s">
        <v>459</v>
      </c>
      <c r="Q149" s="348" t="s">
        <v>975</v>
      </c>
      <c r="R149" s="348"/>
      <c r="S149" s="348" t="s">
        <v>460</v>
      </c>
      <c r="T149" s="348" t="s">
        <v>1320</v>
      </c>
      <c r="U149" s="348" t="s">
        <v>40</v>
      </c>
      <c r="V149" s="348" t="s">
        <v>983</v>
      </c>
      <c r="W149" s="348" t="s">
        <v>75</v>
      </c>
      <c r="X149" s="348">
        <f t="shared" si="2"/>
        <v>10</v>
      </c>
    </row>
    <row r="150" spans="1:24" ht="220.8" x14ac:dyDescent="0.3">
      <c r="A150" s="348" t="s">
        <v>456</v>
      </c>
      <c r="B150" s="348" t="s">
        <v>1321</v>
      </c>
      <c r="C150" s="348">
        <v>0</v>
      </c>
      <c r="D150" s="348">
        <v>0</v>
      </c>
      <c r="E150" s="348">
        <v>0</v>
      </c>
      <c r="F150" s="348">
        <v>1</v>
      </c>
      <c r="G150" s="348">
        <v>0</v>
      </c>
      <c r="H150" s="348">
        <v>0</v>
      </c>
      <c r="I150" s="348">
        <v>0</v>
      </c>
      <c r="J150" s="348">
        <v>0</v>
      </c>
      <c r="K150" s="348"/>
      <c r="L150" s="348" t="s">
        <v>162</v>
      </c>
      <c r="M150" s="348" t="s">
        <v>983</v>
      </c>
      <c r="N150" s="348" t="s">
        <v>975</v>
      </c>
      <c r="O150" s="348" t="s">
        <v>461</v>
      </c>
      <c r="P150" s="348" t="s">
        <v>461</v>
      </c>
      <c r="Q150" s="348" t="s">
        <v>461</v>
      </c>
      <c r="R150" s="348"/>
      <c r="S150" s="348" t="s">
        <v>1310</v>
      </c>
      <c r="T150" s="348" t="s">
        <v>1311</v>
      </c>
      <c r="U150" s="348" t="s">
        <v>148</v>
      </c>
      <c r="V150" s="348" t="s">
        <v>983</v>
      </c>
      <c r="W150" s="348" t="s">
        <v>75</v>
      </c>
      <c r="X150" s="348">
        <f t="shared" si="2"/>
        <v>10</v>
      </c>
    </row>
    <row r="151" spans="1:24" ht="183" customHeight="1" x14ac:dyDescent="0.3">
      <c r="A151" s="360" t="s">
        <v>462</v>
      </c>
      <c r="B151" s="360" t="s">
        <v>1007</v>
      </c>
      <c r="C151" s="348">
        <v>0</v>
      </c>
      <c r="D151" s="348">
        <v>0</v>
      </c>
      <c r="E151" s="348">
        <v>0</v>
      </c>
      <c r="F151" s="348">
        <v>1</v>
      </c>
      <c r="G151" s="348">
        <v>0</v>
      </c>
      <c r="H151" s="348">
        <v>0</v>
      </c>
      <c r="I151" s="348">
        <v>0</v>
      </c>
      <c r="J151" s="348">
        <v>1</v>
      </c>
      <c r="K151" s="348"/>
      <c r="L151" s="348" t="s">
        <v>162</v>
      </c>
      <c r="M151" s="348" t="s">
        <v>983</v>
      </c>
      <c r="N151" s="348" t="s">
        <v>1246</v>
      </c>
      <c r="O151" s="348" t="s">
        <v>975</v>
      </c>
      <c r="P151" s="348" t="s">
        <v>463</v>
      </c>
      <c r="Q151" s="348" t="s">
        <v>464</v>
      </c>
      <c r="R151" s="348"/>
      <c r="S151" s="348" t="s">
        <v>1444</v>
      </c>
      <c r="T151" s="348" t="s">
        <v>1445</v>
      </c>
      <c r="U151" s="348" t="s">
        <v>40</v>
      </c>
      <c r="V151" s="348" t="s">
        <v>983</v>
      </c>
      <c r="W151" s="348" t="s">
        <v>46</v>
      </c>
      <c r="X151" s="348">
        <f t="shared" si="2"/>
        <v>20</v>
      </c>
    </row>
    <row r="152" spans="1:24" ht="181.5" customHeight="1" x14ac:dyDescent="0.3">
      <c r="A152" s="360" t="s">
        <v>465</v>
      </c>
      <c r="B152" s="360" t="s">
        <v>1008</v>
      </c>
      <c r="C152" s="348">
        <v>0</v>
      </c>
      <c r="D152" s="348">
        <v>0</v>
      </c>
      <c r="E152" s="348">
        <v>0</v>
      </c>
      <c r="F152" s="348">
        <v>1</v>
      </c>
      <c r="G152" s="348">
        <v>0</v>
      </c>
      <c r="H152" s="348">
        <v>0</v>
      </c>
      <c r="I152" s="348">
        <v>0</v>
      </c>
      <c r="J152" s="348">
        <v>1</v>
      </c>
      <c r="K152" s="348"/>
      <c r="L152" s="348" t="s">
        <v>162</v>
      </c>
      <c r="M152" s="348" t="s">
        <v>983</v>
      </c>
      <c r="N152" s="348" t="s">
        <v>1246</v>
      </c>
      <c r="O152" s="348" t="s">
        <v>975</v>
      </c>
      <c r="P152" s="348" t="s">
        <v>471</v>
      </c>
      <c r="Q152" s="348" t="s">
        <v>472</v>
      </c>
      <c r="R152" s="348"/>
      <c r="S152" s="348" t="s">
        <v>473</v>
      </c>
      <c r="T152" s="348" t="s">
        <v>474</v>
      </c>
      <c r="U152" s="348" t="s">
        <v>40</v>
      </c>
      <c r="V152" s="348" t="s">
        <v>983</v>
      </c>
      <c r="W152" s="348" t="s">
        <v>46</v>
      </c>
      <c r="X152" s="348">
        <f t="shared" si="2"/>
        <v>20</v>
      </c>
    </row>
    <row r="153" spans="1:24" ht="204.75" customHeight="1" x14ac:dyDescent="0.3">
      <c r="A153" s="360" t="s">
        <v>470</v>
      </c>
      <c r="B153" s="360" t="s">
        <v>1107</v>
      </c>
      <c r="C153" s="348">
        <v>0</v>
      </c>
      <c r="D153" s="348">
        <v>0</v>
      </c>
      <c r="E153" s="348">
        <v>0</v>
      </c>
      <c r="F153" s="348">
        <v>1</v>
      </c>
      <c r="G153" s="348">
        <v>0</v>
      </c>
      <c r="H153" s="348">
        <v>0</v>
      </c>
      <c r="I153" s="348">
        <v>0</v>
      </c>
      <c r="J153" s="348">
        <v>1</v>
      </c>
      <c r="K153" s="348"/>
      <c r="L153" s="348" t="s">
        <v>162</v>
      </c>
      <c r="M153" s="348" t="s">
        <v>983</v>
      </c>
      <c r="N153" s="348" t="s">
        <v>1246</v>
      </c>
      <c r="O153" s="348" t="s">
        <v>975</v>
      </c>
      <c r="P153" s="348" t="s">
        <v>1108</v>
      </c>
      <c r="Q153" s="348" t="s">
        <v>476</v>
      </c>
      <c r="R153" s="348"/>
      <c r="S153" s="348" t="s">
        <v>1322</v>
      </c>
      <c r="T153" s="348" t="s">
        <v>477</v>
      </c>
      <c r="U153" s="348" t="s">
        <v>40</v>
      </c>
      <c r="V153" s="348" t="s">
        <v>983</v>
      </c>
      <c r="W153" s="348" t="s">
        <v>46</v>
      </c>
      <c r="X153" s="348">
        <f t="shared" si="2"/>
        <v>20</v>
      </c>
    </row>
    <row r="154" spans="1:24" ht="203.25" customHeight="1" x14ac:dyDescent="0.3">
      <c r="A154" s="360" t="s">
        <v>475</v>
      </c>
      <c r="B154" s="360" t="s">
        <v>1009</v>
      </c>
      <c r="C154" s="348">
        <v>0</v>
      </c>
      <c r="D154" s="348">
        <v>0</v>
      </c>
      <c r="E154" s="348">
        <v>0</v>
      </c>
      <c r="F154" s="348">
        <v>1</v>
      </c>
      <c r="G154" s="348">
        <v>0</v>
      </c>
      <c r="H154" s="348">
        <v>0</v>
      </c>
      <c r="I154" s="348">
        <v>0</v>
      </c>
      <c r="J154" s="348">
        <v>0</v>
      </c>
      <c r="K154" s="348"/>
      <c r="L154" s="348" t="s">
        <v>162</v>
      </c>
      <c r="M154" s="348" t="s">
        <v>983</v>
      </c>
      <c r="N154" s="348" t="s">
        <v>1246</v>
      </c>
      <c r="O154" s="348" t="s">
        <v>975</v>
      </c>
      <c r="P154" s="348" t="s">
        <v>1109</v>
      </c>
      <c r="Q154" s="348" t="s">
        <v>481</v>
      </c>
      <c r="R154" s="348" t="s">
        <v>1528</v>
      </c>
      <c r="S154" s="348" t="s">
        <v>1322</v>
      </c>
      <c r="T154" s="348" t="s">
        <v>1323</v>
      </c>
      <c r="U154" s="348" t="s">
        <v>40</v>
      </c>
      <c r="V154" s="348" t="s">
        <v>983</v>
      </c>
      <c r="W154" s="348" t="s">
        <v>46</v>
      </c>
      <c r="X154" s="348">
        <f t="shared" si="2"/>
        <v>20</v>
      </c>
    </row>
    <row r="155" spans="1:24" ht="165.6" x14ac:dyDescent="0.3">
      <c r="A155" s="360" t="s">
        <v>478</v>
      </c>
      <c r="B155" s="360" t="s">
        <v>1010</v>
      </c>
      <c r="C155" s="348">
        <v>0</v>
      </c>
      <c r="D155" s="348">
        <v>0</v>
      </c>
      <c r="E155" s="348">
        <v>0</v>
      </c>
      <c r="F155" s="348">
        <v>1</v>
      </c>
      <c r="G155" s="348">
        <v>0</v>
      </c>
      <c r="H155" s="348">
        <v>0</v>
      </c>
      <c r="I155" s="348">
        <v>0</v>
      </c>
      <c r="J155" s="348">
        <v>0</v>
      </c>
      <c r="K155" s="348"/>
      <c r="L155" s="348" t="s">
        <v>162</v>
      </c>
      <c r="M155" s="348" t="s">
        <v>983</v>
      </c>
      <c r="N155" s="348" t="s">
        <v>1246</v>
      </c>
      <c r="O155" s="348" t="s">
        <v>975</v>
      </c>
      <c r="P155" s="348" t="s">
        <v>500</v>
      </c>
      <c r="Q155" s="348" t="s">
        <v>501</v>
      </c>
      <c r="R155" s="348"/>
      <c r="S155" s="348" t="s">
        <v>502</v>
      </c>
      <c r="T155" s="348" t="s">
        <v>1324</v>
      </c>
      <c r="U155" s="348" t="s">
        <v>40</v>
      </c>
      <c r="V155" s="348" t="s">
        <v>983</v>
      </c>
      <c r="W155" s="348" t="s">
        <v>46</v>
      </c>
      <c r="X155" s="348">
        <f t="shared" si="2"/>
        <v>20</v>
      </c>
    </row>
    <row r="156" spans="1:24" ht="165.75" customHeight="1" x14ac:dyDescent="0.3">
      <c r="A156" s="348" t="s">
        <v>480</v>
      </c>
      <c r="B156" s="348" t="s">
        <v>1110</v>
      </c>
      <c r="C156" s="348">
        <v>0</v>
      </c>
      <c r="D156" s="348">
        <v>0</v>
      </c>
      <c r="E156" s="348">
        <v>0</v>
      </c>
      <c r="F156" s="348">
        <v>1</v>
      </c>
      <c r="G156" s="348">
        <v>0</v>
      </c>
      <c r="H156" s="348">
        <v>0</v>
      </c>
      <c r="I156" s="348">
        <v>0</v>
      </c>
      <c r="J156" s="348">
        <v>1</v>
      </c>
      <c r="K156" s="348"/>
      <c r="L156" s="348" t="s">
        <v>162</v>
      </c>
      <c r="M156" s="348" t="s">
        <v>983</v>
      </c>
      <c r="N156" s="348" t="s">
        <v>1246</v>
      </c>
      <c r="O156" s="348" t="s">
        <v>975</v>
      </c>
      <c r="P156" s="348" t="s">
        <v>466</v>
      </c>
      <c r="Q156" s="348" t="s">
        <v>467</v>
      </c>
      <c r="R156" s="348"/>
      <c r="S156" s="348" t="s">
        <v>468</v>
      </c>
      <c r="T156" s="348" t="s">
        <v>469</v>
      </c>
      <c r="U156" s="348" t="s">
        <v>40</v>
      </c>
      <c r="V156" s="348" t="s">
        <v>983</v>
      </c>
      <c r="W156" s="348" t="s">
        <v>75</v>
      </c>
      <c r="X156" s="348">
        <f t="shared" si="2"/>
        <v>10</v>
      </c>
    </row>
    <row r="157" spans="1:24" ht="216" customHeight="1" x14ac:dyDescent="0.3">
      <c r="A157" s="348" t="s">
        <v>482</v>
      </c>
      <c r="B157" s="348" t="s">
        <v>1111</v>
      </c>
      <c r="C157" s="348">
        <v>0</v>
      </c>
      <c r="D157" s="348">
        <v>0</v>
      </c>
      <c r="E157" s="348">
        <v>0</v>
      </c>
      <c r="F157" s="348">
        <v>1</v>
      </c>
      <c r="G157" s="348">
        <v>0</v>
      </c>
      <c r="H157" s="348">
        <v>0</v>
      </c>
      <c r="I157" s="348">
        <v>0</v>
      </c>
      <c r="J157" s="348">
        <v>1</v>
      </c>
      <c r="K157" s="348"/>
      <c r="L157" s="348" t="s">
        <v>162</v>
      </c>
      <c r="M157" s="348" t="s">
        <v>983</v>
      </c>
      <c r="N157" s="348" t="s">
        <v>1246</v>
      </c>
      <c r="O157" s="348" t="s">
        <v>975</v>
      </c>
      <c r="P157" s="348" t="s">
        <v>1112</v>
      </c>
      <c r="Q157" s="348" t="s">
        <v>479</v>
      </c>
      <c r="R157" s="348"/>
      <c r="S157" s="348" t="s">
        <v>1325</v>
      </c>
      <c r="T157" s="348" t="s">
        <v>1113</v>
      </c>
      <c r="U157" s="348" t="s">
        <v>40</v>
      </c>
      <c r="V157" s="348" t="s">
        <v>983</v>
      </c>
      <c r="W157" s="348" t="s">
        <v>75</v>
      </c>
      <c r="X157" s="348">
        <f t="shared" si="2"/>
        <v>10</v>
      </c>
    </row>
    <row r="158" spans="1:24" ht="210.75" customHeight="1" x14ac:dyDescent="0.3">
      <c r="A158" s="348" t="s">
        <v>485</v>
      </c>
      <c r="B158" s="348" t="s">
        <v>483</v>
      </c>
      <c r="C158" s="348">
        <v>0</v>
      </c>
      <c r="D158" s="348">
        <v>0</v>
      </c>
      <c r="E158" s="348">
        <v>0</v>
      </c>
      <c r="F158" s="348">
        <v>1</v>
      </c>
      <c r="G158" s="348">
        <v>0</v>
      </c>
      <c r="H158" s="348">
        <v>0</v>
      </c>
      <c r="I158" s="348">
        <v>0</v>
      </c>
      <c r="J158" s="348">
        <v>0</v>
      </c>
      <c r="K158" s="348"/>
      <c r="L158" s="348" t="s">
        <v>162</v>
      </c>
      <c r="M158" s="348" t="s">
        <v>983</v>
      </c>
      <c r="N158" s="348" t="s">
        <v>1246</v>
      </c>
      <c r="O158" s="348" t="s">
        <v>975</v>
      </c>
      <c r="P158" s="348" t="s">
        <v>1114</v>
      </c>
      <c r="Q158" s="348" t="s">
        <v>484</v>
      </c>
      <c r="R158" s="348" t="s">
        <v>1528</v>
      </c>
      <c r="S158" s="348" t="s">
        <v>1325</v>
      </c>
      <c r="T158" s="348" t="s">
        <v>1326</v>
      </c>
      <c r="U158" s="348" t="s">
        <v>40</v>
      </c>
      <c r="V158" s="348" t="s">
        <v>983</v>
      </c>
      <c r="W158" s="348" t="s">
        <v>75</v>
      </c>
      <c r="X158" s="348">
        <f t="shared" si="2"/>
        <v>10</v>
      </c>
    </row>
    <row r="159" spans="1:24" ht="175.5" customHeight="1" x14ac:dyDescent="0.3">
      <c r="A159" s="348" t="s">
        <v>490</v>
      </c>
      <c r="B159" s="348" t="s">
        <v>486</v>
      </c>
      <c r="C159" s="348">
        <v>0</v>
      </c>
      <c r="D159" s="348">
        <v>0</v>
      </c>
      <c r="E159" s="348">
        <v>0</v>
      </c>
      <c r="F159" s="348">
        <v>1</v>
      </c>
      <c r="G159" s="348">
        <v>0</v>
      </c>
      <c r="H159" s="348">
        <v>0</v>
      </c>
      <c r="I159" s="348">
        <v>0</v>
      </c>
      <c r="J159" s="348">
        <v>0</v>
      </c>
      <c r="K159" s="348"/>
      <c r="L159" s="348" t="s">
        <v>162</v>
      </c>
      <c r="M159" s="348" t="s">
        <v>983</v>
      </c>
      <c r="N159" s="348" t="s">
        <v>1246</v>
      </c>
      <c r="O159" s="348" t="s">
        <v>975</v>
      </c>
      <c r="P159" s="348" t="s">
        <v>487</v>
      </c>
      <c r="Q159" s="348" t="s">
        <v>488</v>
      </c>
      <c r="R159" s="348"/>
      <c r="S159" s="348" t="s">
        <v>1327</v>
      </c>
      <c r="T159" s="348" t="s">
        <v>489</v>
      </c>
      <c r="U159" s="348" t="s">
        <v>40</v>
      </c>
      <c r="V159" s="348" t="s">
        <v>983</v>
      </c>
      <c r="W159" s="348" t="s">
        <v>75</v>
      </c>
      <c r="X159" s="348">
        <f t="shared" si="2"/>
        <v>10</v>
      </c>
    </row>
    <row r="160" spans="1:24" ht="192.75" customHeight="1" x14ac:dyDescent="0.3">
      <c r="A160" s="348" t="s">
        <v>495</v>
      </c>
      <c r="B160" s="348" t="s">
        <v>496</v>
      </c>
      <c r="C160" s="348">
        <v>0</v>
      </c>
      <c r="D160" s="348">
        <v>0</v>
      </c>
      <c r="E160" s="348">
        <v>0</v>
      </c>
      <c r="F160" s="348">
        <v>1</v>
      </c>
      <c r="G160" s="348">
        <v>0</v>
      </c>
      <c r="H160" s="348">
        <v>0</v>
      </c>
      <c r="I160" s="348">
        <v>0</v>
      </c>
      <c r="J160" s="348">
        <v>0</v>
      </c>
      <c r="K160" s="348"/>
      <c r="L160" s="348" t="s">
        <v>1004</v>
      </c>
      <c r="M160" s="348" t="s">
        <v>983</v>
      </c>
      <c r="N160" s="348" t="s">
        <v>1246</v>
      </c>
      <c r="O160" s="348" t="s">
        <v>497</v>
      </c>
      <c r="P160" s="348" t="s">
        <v>497</v>
      </c>
      <c r="Q160" s="348" t="s">
        <v>497</v>
      </c>
      <c r="R160" s="348"/>
      <c r="S160" s="348" t="s">
        <v>1328</v>
      </c>
      <c r="T160" s="348" t="s">
        <v>498</v>
      </c>
      <c r="U160" s="348" t="s">
        <v>1004</v>
      </c>
      <c r="V160" s="348" t="s">
        <v>983</v>
      </c>
      <c r="W160" s="348"/>
      <c r="X160" s="348"/>
    </row>
    <row r="161" spans="1:24" ht="165.6" x14ac:dyDescent="0.3">
      <c r="A161" s="348" t="s">
        <v>499</v>
      </c>
      <c r="B161" s="348" t="s">
        <v>491</v>
      </c>
      <c r="C161" s="348">
        <v>0</v>
      </c>
      <c r="D161" s="348">
        <v>0</v>
      </c>
      <c r="E161" s="348">
        <v>0</v>
      </c>
      <c r="F161" s="348">
        <v>1</v>
      </c>
      <c r="G161" s="348">
        <v>0</v>
      </c>
      <c r="H161" s="348">
        <v>0</v>
      </c>
      <c r="I161" s="348">
        <v>0</v>
      </c>
      <c r="J161" s="348">
        <v>1</v>
      </c>
      <c r="K161" s="348"/>
      <c r="L161" s="348" t="s">
        <v>162</v>
      </c>
      <c r="M161" s="348" t="s">
        <v>983</v>
      </c>
      <c r="N161" s="348" t="s">
        <v>1246</v>
      </c>
      <c r="O161" s="348" t="s">
        <v>975</v>
      </c>
      <c r="P161" s="348" t="s">
        <v>492</v>
      </c>
      <c r="Q161" s="348" t="s">
        <v>493</v>
      </c>
      <c r="R161" s="348"/>
      <c r="S161" s="348" t="s">
        <v>1329</v>
      </c>
      <c r="T161" s="348" t="s">
        <v>494</v>
      </c>
      <c r="U161" s="348" t="s">
        <v>40</v>
      </c>
      <c r="V161" s="348" t="s">
        <v>983</v>
      </c>
      <c r="W161" s="348" t="s">
        <v>41</v>
      </c>
      <c r="X161" s="348">
        <f t="shared" si="2"/>
        <v>5</v>
      </c>
    </row>
    <row r="162" spans="1:24" ht="151.80000000000001" x14ac:dyDescent="0.3">
      <c r="A162" s="360" t="s">
        <v>503</v>
      </c>
      <c r="B162" s="360" t="s">
        <v>1011</v>
      </c>
      <c r="C162" s="348">
        <v>0</v>
      </c>
      <c r="D162" s="348">
        <v>1</v>
      </c>
      <c r="E162" s="348">
        <v>0</v>
      </c>
      <c r="F162" s="348">
        <v>0</v>
      </c>
      <c r="G162" s="348">
        <v>0</v>
      </c>
      <c r="H162" s="348">
        <v>0</v>
      </c>
      <c r="I162" s="348">
        <v>0</v>
      </c>
      <c r="J162" s="348">
        <v>0</v>
      </c>
      <c r="K162" s="348"/>
      <c r="L162" s="348" t="s">
        <v>131</v>
      </c>
      <c r="M162" s="348" t="s">
        <v>983</v>
      </c>
      <c r="N162" s="348" t="s">
        <v>975</v>
      </c>
      <c r="O162" s="348" t="s">
        <v>975</v>
      </c>
      <c r="P162" s="348" t="s">
        <v>975</v>
      </c>
      <c r="Q162" s="348" t="s">
        <v>975</v>
      </c>
      <c r="R162" s="348"/>
      <c r="S162" s="348" t="s">
        <v>1330</v>
      </c>
      <c r="T162" s="348" t="s">
        <v>1331</v>
      </c>
      <c r="U162" s="348" t="s">
        <v>40</v>
      </c>
      <c r="V162" s="348" t="s">
        <v>983</v>
      </c>
      <c r="W162" s="348" t="s">
        <v>46</v>
      </c>
      <c r="X162" s="348">
        <f t="shared" si="2"/>
        <v>20</v>
      </c>
    </row>
    <row r="163" spans="1:24" ht="110.4" x14ac:dyDescent="0.3">
      <c r="A163" s="360" t="s">
        <v>504</v>
      </c>
      <c r="B163" s="360" t="s">
        <v>1012</v>
      </c>
      <c r="C163" s="348">
        <v>0</v>
      </c>
      <c r="D163" s="348">
        <v>1</v>
      </c>
      <c r="E163" s="348">
        <v>0</v>
      </c>
      <c r="F163" s="348">
        <v>0</v>
      </c>
      <c r="G163" s="348">
        <v>0</v>
      </c>
      <c r="H163" s="348">
        <v>0</v>
      </c>
      <c r="I163" s="348">
        <v>0</v>
      </c>
      <c r="J163" s="348">
        <v>0</v>
      </c>
      <c r="K163" s="348"/>
      <c r="L163" s="348" t="s">
        <v>131</v>
      </c>
      <c r="M163" s="348" t="s">
        <v>983</v>
      </c>
      <c r="N163" s="348" t="s">
        <v>975</v>
      </c>
      <c r="O163" s="348" t="s">
        <v>975</v>
      </c>
      <c r="P163" s="348" t="s">
        <v>518</v>
      </c>
      <c r="Q163" s="348" t="s">
        <v>519</v>
      </c>
      <c r="R163" s="348"/>
      <c r="S163" s="348" t="s">
        <v>1332</v>
      </c>
      <c r="T163" s="348" t="s">
        <v>1333</v>
      </c>
      <c r="U163" s="348" t="s">
        <v>40</v>
      </c>
      <c r="V163" s="348" t="s">
        <v>983</v>
      </c>
      <c r="W163" s="348" t="s">
        <v>46</v>
      </c>
      <c r="X163" s="348">
        <f t="shared" si="2"/>
        <v>20</v>
      </c>
    </row>
    <row r="164" spans="1:24" ht="110.4" x14ac:dyDescent="0.3">
      <c r="A164" s="360" t="s">
        <v>506</v>
      </c>
      <c r="B164" s="360" t="s">
        <v>1027</v>
      </c>
      <c r="C164" s="348">
        <v>0</v>
      </c>
      <c r="D164" s="348">
        <v>1</v>
      </c>
      <c r="E164" s="348">
        <v>0</v>
      </c>
      <c r="F164" s="348">
        <v>0</v>
      </c>
      <c r="G164" s="348">
        <v>0</v>
      </c>
      <c r="H164" s="348">
        <v>0</v>
      </c>
      <c r="I164" s="348">
        <v>0</v>
      </c>
      <c r="J164" s="348">
        <v>0</v>
      </c>
      <c r="K164" s="348"/>
      <c r="L164" s="348" t="s">
        <v>131</v>
      </c>
      <c r="M164" s="348" t="s">
        <v>983</v>
      </c>
      <c r="N164" s="348" t="s">
        <v>975</v>
      </c>
      <c r="O164" s="348" t="s">
        <v>521</v>
      </c>
      <c r="P164" s="348" t="s">
        <v>521</v>
      </c>
      <c r="Q164" s="348" t="s">
        <v>521</v>
      </c>
      <c r="R164" s="348"/>
      <c r="S164" s="348" t="s">
        <v>1334</v>
      </c>
      <c r="T164" s="348" t="s">
        <v>1335</v>
      </c>
      <c r="U164" s="348" t="s">
        <v>40</v>
      </c>
      <c r="V164" s="348" t="s">
        <v>983</v>
      </c>
      <c r="W164" s="348" t="s">
        <v>46</v>
      </c>
      <c r="X164" s="348">
        <f t="shared" si="2"/>
        <v>20</v>
      </c>
    </row>
    <row r="165" spans="1:24" ht="165.6" x14ac:dyDescent="0.3">
      <c r="A165" s="348" t="s">
        <v>510</v>
      </c>
      <c r="B165" s="348" t="s">
        <v>505</v>
      </c>
      <c r="C165" s="348">
        <v>0</v>
      </c>
      <c r="D165" s="348">
        <v>1</v>
      </c>
      <c r="E165" s="348">
        <v>0</v>
      </c>
      <c r="F165" s="348">
        <v>0</v>
      </c>
      <c r="G165" s="348">
        <v>0</v>
      </c>
      <c r="H165" s="348">
        <v>0</v>
      </c>
      <c r="I165" s="348">
        <v>0</v>
      </c>
      <c r="J165" s="348">
        <v>0</v>
      </c>
      <c r="K165" s="348"/>
      <c r="L165" s="348" t="s">
        <v>131</v>
      </c>
      <c r="M165" s="348" t="s">
        <v>983</v>
      </c>
      <c r="N165" s="348" t="s">
        <v>975</v>
      </c>
      <c r="O165" s="348" t="s">
        <v>975</v>
      </c>
      <c r="P165" s="348" t="s">
        <v>975</v>
      </c>
      <c r="Q165" s="348" t="s">
        <v>975</v>
      </c>
      <c r="R165" s="348"/>
      <c r="S165" s="348" t="s">
        <v>1296</v>
      </c>
      <c r="T165" s="348" t="s">
        <v>1297</v>
      </c>
      <c r="U165" s="348" t="s">
        <v>40</v>
      </c>
      <c r="V165" s="348" t="s">
        <v>983</v>
      </c>
      <c r="W165" s="348" t="s">
        <v>75</v>
      </c>
      <c r="X165" s="348">
        <f t="shared" si="2"/>
        <v>10</v>
      </c>
    </row>
    <row r="166" spans="1:24" ht="193.2" x14ac:dyDescent="0.3">
      <c r="A166" s="348" t="s">
        <v>514</v>
      </c>
      <c r="B166" s="348" t="s">
        <v>511</v>
      </c>
      <c r="C166" s="348">
        <v>0</v>
      </c>
      <c r="D166" s="348">
        <v>1</v>
      </c>
      <c r="E166" s="348">
        <v>0</v>
      </c>
      <c r="F166" s="348">
        <v>0</v>
      </c>
      <c r="G166" s="348">
        <v>0</v>
      </c>
      <c r="H166" s="348">
        <v>0</v>
      </c>
      <c r="I166" s="348">
        <v>0</v>
      </c>
      <c r="J166" s="348">
        <v>1</v>
      </c>
      <c r="K166" s="348"/>
      <c r="L166" s="348" t="s">
        <v>131</v>
      </c>
      <c r="M166" s="348" t="s">
        <v>983</v>
      </c>
      <c r="N166" s="348" t="s">
        <v>975</v>
      </c>
      <c r="O166" s="348" t="s">
        <v>975</v>
      </c>
      <c r="P166" s="348" t="s">
        <v>512</v>
      </c>
      <c r="Q166" s="348" t="s">
        <v>513</v>
      </c>
      <c r="R166" s="348"/>
      <c r="S166" s="348" t="s">
        <v>1336</v>
      </c>
      <c r="T166" s="348" t="s">
        <v>1337</v>
      </c>
      <c r="U166" s="348" t="s">
        <v>40</v>
      </c>
      <c r="V166" s="348" t="s">
        <v>983</v>
      </c>
      <c r="W166" s="348" t="s">
        <v>75</v>
      </c>
      <c r="X166" s="348">
        <f t="shared" si="2"/>
        <v>10</v>
      </c>
    </row>
    <row r="167" spans="1:24" ht="196.5" customHeight="1" x14ac:dyDescent="0.3">
      <c r="A167" s="348" t="s">
        <v>517</v>
      </c>
      <c r="B167" s="348" t="s">
        <v>523</v>
      </c>
      <c r="C167" s="348">
        <v>0</v>
      </c>
      <c r="D167" s="348">
        <v>1</v>
      </c>
      <c r="E167" s="348">
        <v>0</v>
      </c>
      <c r="F167" s="348">
        <v>0</v>
      </c>
      <c r="G167" s="348">
        <v>0</v>
      </c>
      <c r="H167" s="348">
        <v>0</v>
      </c>
      <c r="I167" s="348">
        <v>0</v>
      </c>
      <c r="J167" s="348">
        <v>0</v>
      </c>
      <c r="K167" s="348"/>
      <c r="L167" s="348" t="s">
        <v>131</v>
      </c>
      <c r="M167" s="348" t="s">
        <v>983</v>
      </c>
      <c r="N167" s="348" t="s">
        <v>975</v>
      </c>
      <c r="O167" s="348" t="s">
        <v>975</v>
      </c>
      <c r="P167" s="348" t="s">
        <v>524</v>
      </c>
      <c r="Q167" s="348" t="s">
        <v>525</v>
      </c>
      <c r="R167" s="348"/>
      <c r="S167" s="348" t="s">
        <v>1338</v>
      </c>
      <c r="T167" s="348" t="s">
        <v>1339</v>
      </c>
      <c r="U167" s="348" t="s">
        <v>40</v>
      </c>
      <c r="V167" s="348" t="s">
        <v>983</v>
      </c>
      <c r="W167" s="348" t="s">
        <v>75</v>
      </c>
      <c r="X167" s="348">
        <f t="shared" si="2"/>
        <v>10</v>
      </c>
    </row>
    <row r="168" spans="1:24" ht="138" x14ac:dyDescent="0.3">
      <c r="A168" s="348" t="s">
        <v>520</v>
      </c>
      <c r="B168" s="348" t="s">
        <v>527</v>
      </c>
      <c r="C168" s="348">
        <v>0</v>
      </c>
      <c r="D168" s="348">
        <v>1</v>
      </c>
      <c r="E168" s="348">
        <v>0</v>
      </c>
      <c r="F168" s="348">
        <v>0</v>
      </c>
      <c r="G168" s="348">
        <v>0</v>
      </c>
      <c r="H168" s="348">
        <v>0</v>
      </c>
      <c r="I168" s="348">
        <v>0</v>
      </c>
      <c r="J168" s="348">
        <v>0</v>
      </c>
      <c r="K168" s="348"/>
      <c r="L168" s="348" t="s">
        <v>131</v>
      </c>
      <c r="M168" s="348" t="s">
        <v>983</v>
      </c>
      <c r="N168" s="348" t="s">
        <v>975</v>
      </c>
      <c r="O168" s="348" t="s">
        <v>975</v>
      </c>
      <c r="P168" s="348" t="s">
        <v>528</v>
      </c>
      <c r="Q168" s="348" t="s">
        <v>529</v>
      </c>
      <c r="R168" s="348"/>
      <c r="S168" s="348" t="s">
        <v>530</v>
      </c>
      <c r="T168" s="348" t="s">
        <v>1340</v>
      </c>
      <c r="U168" s="348" t="s">
        <v>40</v>
      </c>
      <c r="V168" s="348" t="s">
        <v>983</v>
      </c>
      <c r="W168" s="348" t="s">
        <v>75</v>
      </c>
      <c r="X168" s="348">
        <f t="shared" si="2"/>
        <v>10</v>
      </c>
    </row>
    <row r="169" spans="1:24" ht="409.6" x14ac:dyDescent="0.3">
      <c r="A169" s="348" t="s">
        <v>522</v>
      </c>
      <c r="B169" s="348" t="s">
        <v>532</v>
      </c>
      <c r="C169" s="348">
        <v>0</v>
      </c>
      <c r="D169" s="348">
        <v>1</v>
      </c>
      <c r="E169" s="348">
        <v>0</v>
      </c>
      <c r="F169" s="348">
        <v>0</v>
      </c>
      <c r="G169" s="348">
        <v>0</v>
      </c>
      <c r="H169" s="348">
        <v>0</v>
      </c>
      <c r="I169" s="348">
        <v>0</v>
      </c>
      <c r="J169" s="348">
        <v>1</v>
      </c>
      <c r="K169" s="348"/>
      <c r="L169" s="348" t="s">
        <v>131</v>
      </c>
      <c r="M169" s="348" t="s">
        <v>983</v>
      </c>
      <c r="N169" s="348" t="s">
        <v>975</v>
      </c>
      <c r="O169" s="348" t="s">
        <v>975</v>
      </c>
      <c r="P169" s="348" t="s">
        <v>533</v>
      </c>
      <c r="Q169" s="348" t="s">
        <v>534</v>
      </c>
      <c r="R169" s="348"/>
      <c r="S169" s="348" t="s">
        <v>1341</v>
      </c>
      <c r="T169" s="348" t="s">
        <v>1342</v>
      </c>
      <c r="U169" s="348" t="s">
        <v>40</v>
      </c>
      <c r="V169" s="348" t="s">
        <v>983</v>
      </c>
      <c r="W169" s="348" t="s">
        <v>75</v>
      </c>
      <c r="X169" s="348">
        <f t="shared" si="2"/>
        <v>10</v>
      </c>
    </row>
    <row r="170" spans="1:24" ht="165.6" x14ac:dyDescent="0.3">
      <c r="A170" s="348" t="s">
        <v>526</v>
      </c>
      <c r="B170" s="348" t="s">
        <v>507</v>
      </c>
      <c r="C170" s="348">
        <v>0</v>
      </c>
      <c r="D170" s="348">
        <v>1</v>
      </c>
      <c r="E170" s="348">
        <v>0</v>
      </c>
      <c r="F170" s="348">
        <v>0</v>
      </c>
      <c r="G170" s="348">
        <v>0</v>
      </c>
      <c r="H170" s="348">
        <v>0</v>
      </c>
      <c r="I170" s="348">
        <v>0</v>
      </c>
      <c r="J170" s="348">
        <v>1</v>
      </c>
      <c r="K170" s="348"/>
      <c r="L170" s="348" t="s">
        <v>131</v>
      </c>
      <c r="M170" s="348" t="s">
        <v>983</v>
      </c>
      <c r="N170" s="348" t="s">
        <v>975</v>
      </c>
      <c r="O170" s="348" t="s">
        <v>975</v>
      </c>
      <c r="P170" s="348" t="s">
        <v>508</v>
      </c>
      <c r="Q170" s="348" t="s">
        <v>509</v>
      </c>
      <c r="R170" s="348"/>
      <c r="S170" s="348" t="s">
        <v>1261</v>
      </c>
      <c r="T170" s="348" t="s">
        <v>1262</v>
      </c>
      <c r="U170" s="348" t="s">
        <v>40</v>
      </c>
      <c r="V170" s="348" t="s">
        <v>983</v>
      </c>
      <c r="W170" s="348" t="s">
        <v>41</v>
      </c>
      <c r="X170" s="348">
        <f t="shared" si="2"/>
        <v>5</v>
      </c>
    </row>
    <row r="171" spans="1:24" ht="110.4" x14ac:dyDescent="0.3">
      <c r="A171" s="348" t="s">
        <v>531</v>
      </c>
      <c r="B171" s="348" t="s">
        <v>515</v>
      </c>
      <c r="C171" s="348">
        <v>0</v>
      </c>
      <c r="D171" s="348">
        <v>1</v>
      </c>
      <c r="E171" s="348">
        <v>0</v>
      </c>
      <c r="F171" s="348">
        <v>0</v>
      </c>
      <c r="G171" s="348">
        <v>0</v>
      </c>
      <c r="H171" s="348">
        <v>0</v>
      </c>
      <c r="I171" s="348">
        <v>0</v>
      </c>
      <c r="J171" s="348">
        <v>0</v>
      </c>
      <c r="K171" s="348"/>
      <c r="L171" s="348" t="s">
        <v>131</v>
      </c>
      <c r="M171" s="348" t="s">
        <v>983</v>
      </c>
      <c r="N171" s="348" t="s">
        <v>975</v>
      </c>
      <c r="O171" s="348" t="s">
        <v>975</v>
      </c>
      <c r="P171" s="348" t="s">
        <v>1885</v>
      </c>
      <c r="Q171" s="348" t="s">
        <v>516</v>
      </c>
      <c r="R171" s="348"/>
      <c r="S171" s="348" t="s">
        <v>1334</v>
      </c>
      <c r="T171" s="348" t="s">
        <v>1335</v>
      </c>
      <c r="U171" s="348" t="s">
        <v>40</v>
      </c>
      <c r="V171" s="348" t="s">
        <v>983</v>
      </c>
      <c r="W171" s="348" t="s">
        <v>41</v>
      </c>
      <c r="X171" s="348">
        <f t="shared" si="2"/>
        <v>5</v>
      </c>
    </row>
    <row r="172" spans="1:24" ht="240" customHeight="1" x14ac:dyDescent="0.3">
      <c r="A172" s="348" t="s">
        <v>535</v>
      </c>
      <c r="B172" s="348" t="s">
        <v>536</v>
      </c>
      <c r="C172" s="348">
        <v>0</v>
      </c>
      <c r="D172" s="348">
        <v>1</v>
      </c>
      <c r="E172" s="348">
        <v>0</v>
      </c>
      <c r="F172" s="348">
        <v>0</v>
      </c>
      <c r="G172" s="348">
        <v>0</v>
      </c>
      <c r="H172" s="348">
        <v>0</v>
      </c>
      <c r="I172" s="348">
        <v>0</v>
      </c>
      <c r="J172" s="348">
        <v>1</v>
      </c>
      <c r="K172" s="348"/>
      <c r="L172" s="348" t="s">
        <v>131</v>
      </c>
      <c r="M172" s="348" t="s">
        <v>983</v>
      </c>
      <c r="N172" s="348" t="s">
        <v>975</v>
      </c>
      <c r="O172" s="348" t="s">
        <v>975</v>
      </c>
      <c r="P172" s="348" t="s">
        <v>537</v>
      </c>
      <c r="Q172" s="348" t="s">
        <v>538</v>
      </c>
      <c r="R172" s="348"/>
      <c r="S172" s="348" t="s">
        <v>1886</v>
      </c>
      <c r="T172" s="348" t="s">
        <v>539</v>
      </c>
      <c r="U172" s="348" t="s">
        <v>40</v>
      </c>
      <c r="V172" s="348" t="s">
        <v>983</v>
      </c>
      <c r="W172" s="348" t="s">
        <v>41</v>
      </c>
      <c r="X172" s="348">
        <f t="shared" si="2"/>
        <v>5</v>
      </c>
    </row>
    <row r="173" spans="1:24" ht="243" customHeight="1" x14ac:dyDescent="0.3">
      <c r="A173" s="348" t="s">
        <v>540</v>
      </c>
      <c r="B173" s="348" t="s">
        <v>541</v>
      </c>
      <c r="C173" s="348">
        <v>0</v>
      </c>
      <c r="D173" s="348">
        <v>1</v>
      </c>
      <c r="E173" s="348">
        <v>0</v>
      </c>
      <c r="F173" s="348">
        <v>0</v>
      </c>
      <c r="G173" s="348">
        <v>0</v>
      </c>
      <c r="H173" s="348">
        <v>0</v>
      </c>
      <c r="I173" s="348">
        <v>0</v>
      </c>
      <c r="J173" s="348">
        <v>1</v>
      </c>
      <c r="K173" s="348"/>
      <c r="L173" s="348" t="s">
        <v>131</v>
      </c>
      <c r="M173" s="348" t="s">
        <v>983</v>
      </c>
      <c r="N173" s="348" t="s">
        <v>975</v>
      </c>
      <c r="O173" s="348" t="s">
        <v>975</v>
      </c>
      <c r="P173" s="348" t="s">
        <v>542</v>
      </c>
      <c r="Q173" s="348" t="s">
        <v>543</v>
      </c>
      <c r="R173" s="348"/>
      <c r="S173" s="348" t="s">
        <v>1886</v>
      </c>
      <c r="T173" s="348" t="s">
        <v>539</v>
      </c>
      <c r="U173" s="348" t="s">
        <v>40</v>
      </c>
      <c r="V173" s="348" t="s">
        <v>983</v>
      </c>
      <c r="W173" s="348" t="s">
        <v>41</v>
      </c>
      <c r="X173" s="348">
        <f t="shared" si="2"/>
        <v>5</v>
      </c>
    </row>
    <row r="174" spans="1:24" ht="165.6" x14ac:dyDescent="0.3">
      <c r="A174" s="348" t="s">
        <v>544</v>
      </c>
      <c r="B174" s="348" t="s">
        <v>545</v>
      </c>
      <c r="C174" s="348">
        <v>0</v>
      </c>
      <c r="D174" s="348">
        <v>1</v>
      </c>
      <c r="E174" s="348">
        <v>0</v>
      </c>
      <c r="F174" s="348">
        <v>0</v>
      </c>
      <c r="G174" s="348">
        <v>0</v>
      </c>
      <c r="H174" s="348">
        <v>0</v>
      </c>
      <c r="I174" s="348">
        <v>0</v>
      </c>
      <c r="J174" s="348">
        <v>0</v>
      </c>
      <c r="K174" s="348"/>
      <c r="L174" s="348" t="s">
        <v>131</v>
      </c>
      <c r="M174" s="348" t="s">
        <v>983</v>
      </c>
      <c r="N174" s="348" t="s">
        <v>975</v>
      </c>
      <c r="O174" s="348" t="s">
        <v>975</v>
      </c>
      <c r="P174" s="348" t="s">
        <v>546</v>
      </c>
      <c r="Q174" s="348" t="s">
        <v>547</v>
      </c>
      <c r="R174" s="348"/>
      <c r="S174" s="348" t="s">
        <v>1887</v>
      </c>
      <c r="T174" s="348" t="s">
        <v>1343</v>
      </c>
      <c r="U174" s="348" t="s">
        <v>40</v>
      </c>
      <c r="V174" s="348" t="s">
        <v>983</v>
      </c>
      <c r="W174" s="348" t="s">
        <v>41</v>
      </c>
      <c r="X174" s="348">
        <f t="shared" si="2"/>
        <v>5</v>
      </c>
    </row>
    <row r="175" spans="1:24" ht="206.25" customHeight="1" x14ac:dyDescent="0.3">
      <c r="A175" s="348" t="s">
        <v>548</v>
      </c>
      <c r="B175" s="348" t="s">
        <v>549</v>
      </c>
      <c r="C175" s="348">
        <v>0</v>
      </c>
      <c r="D175" s="348">
        <v>1</v>
      </c>
      <c r="E175" s="348">
        <v>0</v>
      </c>
      <c r="F175" s="348">
        <v>0</v>
      </c>
      <c r="G175" s="348">
        <v>0</v>
      </c>
      <c r="H175" s="348">
        <v>0</v>
      </c>
      <c r="I175" s="348">
        <v>0</v>
      </c>
      <c r="J175" s="348">
        <v>1</v>
      </c>
      <c r="K175" s="348"/>
      <c r="L175" s="348" t="s">
        <v>131</v>
      </c>
      <c r="M175" s="348" t="s">
        <v>983</v>
      </c>
      <c r="N175" s="348" t="s">
        <v>975</v>
      </c>
      <c r="O175" s="348" t="s">
        <v>975</v>
      </c>
      <c r="P175" s="348" t="s">
        <v>550</v>
      </c>
      <c r="Q175" s="348" t="s">
        <v>551</v>
      </c>
      <c r="R175" s="348"/>
      <c r="S175" s="348" t="s">
        <v>1396</v>
      </c>
      <c r="T175" s="348" t="s">
        <v>552</v>
      </c>
      <c r="U175" s="348" t="s">
        <v>40</v>
      </c>
      <c r="V175" s="348" t="s">
        <v>983</v>
      </c>
      <c r="W175" s="348" t="s">
        <v>41</v>
      </c>
      <c r="X175" s="348">
        <f t="shared" si="2"/>
        <v>5</v>
      </c>
    </row>
    <row r="176" spans="1:24" ht="127.5" customHeight="1" x14ac:dyDescent="0.3">
      <c r="A176" s="348" t="s">
        <v>553</v>
      </c>
      <c r="B176" s="348" t="s">
        <v>554</v>
      </c>
      <c r="C176" s="348">
        <v>0</v>
      </c>
      <c r="D176" s="348">
        <v>1</v>
      </c>
      <c r="E176" s="348">
        <v>0</v>
      </c>
      <c r="F176" s="348">
        <v>0</v>
      </c>
      <c r="G176" s="348">
        <v>0</v>
      </c>
      <c r="H176" s="348">
        <v>0</v>
      </c>
      <c r="I176" s="348">
        <v>0</v>
      </c>
      <c r="J176" s="348">
        <v>1</v>
      </c>
      <c r="K176" s="348"/>
      <c r="L176" s="348" t="s">
        <v>131</v>
      </c>
      <c r="M176" s="348" t="s">
        <v>983</v>
      </c>
      <c r="N176" s="348" t="s">
        <v>975</v>
      </c>
      <c r="O176" s="348" t="s">
        <v>975</v>
      </c>
      <c r="P176" s="348" t="s">
        <v>555</v>
      </c>
      <c r="Q176" s="348" t="s">
        <v>556</v>
      </c>
      <c r="R176" s="356" t="s">
        <v>1567</v>
      </c>
      <c r="S176" s="348" t="s">
        <v>1344</v>
      </c>
      <c r="T176" s="348" t="s">
        <v>557</v>
      </c>
      <c r="U176" s="348" t="s">
        <v>40</v>
      </c>
      <c r="V176" s="348" t="s">
        <v>983</v>
      </c>
      <c r="W176" s="348" t="s">
        <v>41</v>
      </c>
      <c r="X176" s="348">
        <f t="shared" si="2"/>
        <v>5</v>
      </c>
    </row>
    <row r="177" spans="1:24" ht="248.4" x14ac:dyDescent="0.3">
      <c r="A177" s="348" t="s">
        <v>558</v>
      </c>
      <c r="B177" s="348" t="s">
        <v>559</v>
      </c>
      <c r="C177" s="348">
        <v>0</v>
      </c>
      <c r="D177" s="348">
        <v>0</v>
      </c>
      <c r="E177" s="348">
        <v>0</v>
      </c>
      <c r="F177" s="348">
        <v>1</v>
      </c>
      <c r="G177" s="348">
        <v>0</v>
      </c>
      <c r="H177" s="348">
        <v>0</v>
      </c>
      <c r="I177" s="348">
        <v>0</v>
      </c>
      <c r="J177" s="348">
        <v>1</v>
      </c>
      <c r="K177" s="348"/>
      <c r="L177" s="348" t="s">
        <v>162</v>
      </c>
      <c r="M177" s="348" t="s">
        <v>983</v>
      </c>
      <c r="N177" s="348" t="s">
        <v>1246</v>
      </c>
      <c r="O177" s="348" t="s">
        <v>975</v>
      </c>
      <c r="P177" s="348" t="s">
        <v>560</v>
      </c>
      <c r="Q177" s="348" t="s">
        <v>561</v>
      </c>
      <c r="R177" s="348"/>
      <c r="S177" s="348" t="s">
        <v>1345</v>
      </c>
      <c r="T177" s="348" t="s">
        <v>1346</v>
      </c>
      <c r="U177" s="348" t="s">
        <v>40</v>
      </c>
      <c r="V177" s="348" t="s">
        <v>983</v>
      </c>
      <c r="W177" s="348" t="s">
        <v>75</v>
      </c>
      <c r="X177" s="348">
        <f t="shared" si="2"/>
        <v>10</v>
      </c>
    </row>
    <row r="178" spans="1:24" ht="221.25" customHeight="1" x14ac:dyDescent="0.3">
      <c r="A178" s="348" t="s">
        <v>562</v>
      </c>
      <c r="B178" s="348" t="s">
        <v>563</v>
      </c>
      <c r="C178" s="348">
        <v>0</v>
      </c>
      <c r="D178" s="348">
        <v>0</v>
      </c>
      <c r="E178" s="348">
        <v>0</v>
      </c>
      <c r="F178" s="348">
        <v>1</v>
      </c>
      <c r="G178" s="348">
        <v>0</v>
      </c>
      <c r="H178" s="348">
        <v>0</v>
      </c>
      <c r="I178" s="348">
        <v>0</v>
      </c>
      <c r="J178" s="348">
        <v>1</v>
      </c>
      <c r="K178" s="348"/>
      <c r="L178" s="348" t="s">
        <v>162</v>
      </c>
      <c r="M178" s="348" t="s">
        <v>983</v>
      </c>
      <c r="N178" s="348" t="s">
        <v>1246</v>
      </c>
      <c r="O178" s="348" t="s">
        <v>975</v>
      </c>
      <c r="P178" s="348" t="s">
        <v>564</v>
      </c>
      <c r="Q178" s="348" t="s">
        <v>565</v>
      </c>
      <c r="R178" s="348"/>
      <c r="S178" s="348" t="s">
        <v>1347</v>
      </c>
      <c r="T178" s="348" t="s">
        <v>1346</v>
      </c>
      <c r="U178" s="348" t="s">
        <v>40</v>
      </c>
      <c r="V178" s="348" t="s">
        <v>983</v>
      </c>
      <c r="W178" s="348" t="s">
        <v>41</v>
      </c>
      <c r="X178" s="348">
        <f t="shared" si="2"/>
        <v>5</v>
      </c>
    </row>
    <row r="179" spans="1:24" ht="151.80000000000001" x14ac:dyDescent="0.3">
      <c r="A179" s="348" t="s">
        <v>566</v>
      </c>
      <c r="B179" s="348" t="s">
        <v>567</v>
      </c>
      <c r="C179" s="348">
        <v>0</v>
      </c>
      <c r="D179" s="348">
        <v>0</v>
      </c>
      <c r="E179" s="348">
        <v>0</v>
      </c>
      <c r="F179" s="348">
        <v>1</v>
      </c>
      <c r="G179" s="348">
        <v>0</v>
      </c>
      <c r="H179" s="348">
        <v>0</v>
      </c>
      <c r="I179" s="348">
        <v>0</v>
      </c>
      <c r="J179" s="348">
        <v>1</v>
      </c>
      <c r="K179" s="348"/>
      <c r="L179" s="348" t="s">
        <v>162</v>
      </c>
      <c r="M179" s="348" t="s">
        <v>983</v>
      </c>
      <c r="N179" s="348" t="s">
        <v>1246</v>
      </c>
      <c r="O179" s="348" t="s">
        <v>975</v>
      </c>
      <c r="P179" s="348" t="s">
        <v>568</v>
      </c>
      <c r="Q179" s="348" t="s">
        <v>569</v>
      </c>
      <c r="R179" s="348"/>
      <c r="S179" s="348" t="s">
        <v>1348</v>
      </c>
      <c r="T179" s="348" t="s">
        <v>1349</v>
      </c>
      <c r="U179" s="348" t="s">
        <v>40</v>
      </c>
      <c r="V179" s="348" t="s">
        <v>983</v>
      </c>
      <c r="W179" s="348" t="s">
        <v>41</v>
      </c>
      <c r="X179" s="348">
        <f t="shared" si="2"/>
        <v>5</v>
      </c>
    </row>
    <row r="180" spans="1:24" ht="220.8" x14ac:dyDescent="0.3">
      <c r="A180" s="348" t="s">
        <v>570</v>
      </c>
      <c r="B180" s="348" t="s">
        <v>571</v>
      </c>
      <c r="C180" s="348">
        <v>0</v>
      </c>
      <c r="D180" s="348">
        <v>0</v>
      </c>
      <c r="E180" s="348">
        <v>0</v>
      </c>
      <c r="F180" s="348">
        <v>1</v>
      </c>
      <c r="G180" s="348">
        <v>0</v>
      </c>
      <c r="H180" s="348">
        <v>0</v>
      </c>
      <c r="I180" s="348">
        <v>0</v>
      </c>
      <c r="J180" s="348">
        <v>1</v>
      </c>
      <c r="K180" s="348"/>
      <c r="L180" s="348" t="s">
        <v>162</v>
      </c>
      <c r="M180" s="348" t="s">
        <v>975</v>
      </c>
      <c r="N180" s="348" t="s">
        <v>1246</v>
      </c>
      <c r="O180" s="348" t="s">
        <v>975</v>
      </c>
      <c r="P180" s="348" t="s">
        <v>1888</v>
      </c>
      <c r="Q180" s="348" t="s">
        <v>1184</v>
      </c>
      <c r="R180" s="348"/>
      <c r="S180" s="348" t="s">
        <v>1350</v>
      </c>
      <c r="T180" s="348" t="s">
        <v>1342</v>
      </c>
      <c r="U180" s="348" t="s">
        <v>40</v>
      </c>
      <c r="V180" s="348" t="s">
        <v>975</v>
      </c>
      <c r="W180" s="348" t="s">
        <v>41</v>
      </c>
      <c r="X180" s="348">
        <f t="shared" si="2"/>
        <v>5</v>
      </c>
    </row>
    <row r="181" spans="1:24" ht="224.25" customHeight="1" x14ac:dyDescent="0.3">
      <c r="A181" s="360" t="s">
        <v>572</v>
      </c>
      <c r="B181" s="360" t="s">
        <v>1013</v>
      </c>
      <c r="C181" s="348">
        <v>0</v>
      </c>
      <c r="D181" s="348">
        <v>0</v>
      </c>
      <c r="E181" s="348">
        <v>0</v>
      </c>
      <c r="F181" s="348">
        <v>1</v>
      </c>
      <c r="G181" s="348">
        <v>0</v>
      </c>
      <c r="H181" s="348">
        <v>0</v>
      </c>
      <c r="I181" s="348">
        <v>0</v>
      </c>
      <c r="J181" s="348">
        <v>0</v>
      </c>
      <c r="K181" s="348"/>
      <c r="L181" s="348" t="s">
        <v>162</v>
      </c>
      <c r="M181" s="348" t="s">
        <v>983</v>
      </c>
      <c r="N181" s="348" t="s">
        <v>1246</v>
      </c>
      <c r="O181" s="348" t="s">
        <v>975</v>
      </c>
      <c r="P181" s="348" t="s">
        <v>580</v>
      </c>
      <c r="Q181" s="348" t="s">
        <v>581</v>
      </c>
      <c r="R181" s="348"/>
      <c r="S181" s="348" t="s">
        <v>1351</v>
      </c>
      <c r="T181" s="348" t="s">
        <v>1352</v>
      </c>
      <c r="U181" s="348" t="s">
        <v>40</v>
      </c>
      <c r="V181" s="348" t="s">
        <v>983</v>
      </c>
      <c r="W181" s="348" t="s">
        <v>46</v>
      </c>
      <c r="X181" s="348">
        <f t="shared" si="2"/>
        <v>20</v>
      </c>
    </row>
    <row r="182" spans="1:24" ht="124.2" x14ac:dyDescent="0.3">
      <c r="A182" s="360" t="s">
        <v>575</v>
      </c>
      <c r="B182" s="360" t="s">
        <v>1014</v>
      </c>
      <c r="C182" s="348">
        <v>0</v>
      </c>
      <c r="D182" s="348">
        <v>0</v>
      </c>
      <c r="E182" s="348">
        <v>0</v>
      </c>
      <c r="F182" s="348">
        <v>1</v>
      </c>
      <c r="G182" s="348">
        <v>0</v>
      </c>
      <c r="H182" s="348">
        <v>0</v>
      </c>
      <c r="I182" s="348">
        <v>0</v>
      </c>
      <c r="J182" s="348">
        <v>1</v>
      </c>
      <c r="K182" s="348"/>
      <c r="L182" s="348" t="s">
        <v>162</v>
      </c>
      <c r="M182" s="348" t="s">
        <v>983</v>
      </c>
      <c r="N182" s="348" t="s">
        <v>1246</v>
      </c>
      <c r="O182" s="348" t="s">
        <v>975</v>
      </c>
      <c r="P182" s="348" t="s">
        <v>583</v>
      </c>
      <c r="Q182" s="348" t="s">
        <v>584</v>
      </c>
      <c r="R182" s="348"/>
      <c r="S182" s="348" t="s">
        <v>1353</v>
      </c>
      <c r="T182" s="348" t="s">
        <v>1354</v>
      </c>
      <c r="U182" s="348" t="s">
        <v>40</v>
      </c>
      <c r="V182" s="348" t="s">
        <v>983</v>
      </c>
      <c r="W182" s="348" t="s">
        <v>46</v>
      </c>
      <c r="X182" s="348">
        <f t="shared" si="2"/>
        <v>20</v>
      </c>
    </row>
    <row r="183" spans="1:24" ht="165.6" x14ac:dyDescent="0.3">
      <c r="A183" s="360" t="s">
        <v>579</v>
      </c>
      <c r="B183" s="360" t="s">
        <v>1015</v>
      </c>
      <c r="C183" s="348">
        <v>0</v>
      </c>
      <c r="D183" s="348">
        <v>0</v>
      </c>
      <c r="E183" s="348">
        <v>0</v>
      </c>
      <c r="F183" s="348">
        <v>1</v>
      </c>
      <c r="G183" s="348">
        <v>0</v>
      </c>
      <c r="H183" s="348">
        <v>0</v>
      </c>
      <c r="I183" s="348">
        <v>0</v>
      </c>
      <c r="J183" s="348">
        <v>1</v>
      </c>
      <c r="K183" s="348"/>
      <c r="L183" s="348" t="s">
        <v>162</v>
      </c>
      <c r="M183" s="348" t="s">
        <v>983</v>
      </c>
      <c r="N183" s="348" t="s">
        <v>1246</v>
      </c>
      <c r="O183" s="348" t="s">
        <v>975</v>
      </c>
      <c r="P183" s="348" t="s">
        <v>588</v>
      </c>
      <c r="Q183" s="348" t="s">
        <v>1115</v>
      </c>
      <c r="R183" s="348"/>
      <c r="S183" s="348" t="s">
        <v>1355</v>
      </c>
      <c r="T183" s="348" t="s">
        <v>589</v>
      </c>
      <c r="U183" s="348" t="s">
        <v>40</v>
      </c>
      <c r="V183" s="348" t="s">
        <v>983</v>
      </c>
      <c r="W183" s="348" t="s">
        <v>46</v>
      </c>
      <c r="X183" s="348">
        <f t="shared" si="2"/>
        <v>20</v>
      </c>
    </row>
    <row r="184" spans="1:24" ht="289.5" customHeight="1" x14ac:dyDescent="0.3">
      <c r="A184" s="348" t="s">
        <v>582</v>
      </c>
      <c r="B184" s="348" t="s">
        <v>576</v>
      </c>
      <c r="C184" s="348">
        <v>0</v>
      </c>
      <c r="D184" s="348">
        <v>0</v>
      </c>
      <c r="E184" s="348">
        <v>0</v>
      </c>
      <c r="F184" s="348">
        <v>1</v>
      </c>
      <c r="G184" s="348">
        <v>0</v>
      </c>
      <c r="H184" s="348">
        <v>0</v>
      </c>
      <c r="I184" s="348">
        <v>0</v>
      </c>
      <c r="J184" s="348">
        <v>1</v>
      </c>
      <c r="K184" s="348"/>
      <c r="L184" s="348" t="s">
        <v>162</v>
      </c>
      <c r="M184" s="348" t="s">
        <v>983</v>
      </c>
      <c r="N184" s="348" t="s">
        <v>1246</v>
      </c>
      <c r="O184" s="348" t="s">
        <v>975</v>
      </c>
      <c r="P184" s="348" t="s">
        <v>577</v>
      </c>
      <c r="Q184" s="348" t="s">
        <v>578</v>
      </c>
      <c r="R184" s="348"/>
      <c r="S184" s="348" t="s">
        <v>1356</v>
      </c>
      <c r="T184" s="348" t="s">
        <v>1116</v>
      </c>
      <c r="U184" s="348" t="s">
        <v>40</v>
      </c>
      <c r="V184" s="348" t="s">
        <v>983</v>
      </c>
      <c r="W184" s="348" t="s">
        <v>75</v>
      </c>
      <c r="X184" s="348">
        <f t="shared" si="2"/>
        <v>10</v>
      </c>
    </row>
    <row r="185" spans="1:24" ht="296.25" customHeight="1" x14ac:dyDescent="0.3">
      <c r="A185" s="348" t="s">
        <v>585</v>
      </c>
      <c r="B185" s="348" t="s">
        <v>1430</v>
      </c>
      <c r="C185" s="348">
        <v>0</v>
      </c>
      <c r="D185" s="348">
        <v>0</v>
      </c>
      <c r="E185" s="348">
        <v>0</v>
      </c>
      <c r="F185" s="348">
        <v>1</v>
      </c>
      <c r="G185" s="348">
        <v>0</v>
      </c>
      <c r="H185" s="348">
        <v>0</v>
      </c>
      <c r="I185" s="348">
        <v>0</v>
      </c>
      <c r="J185" s="348">
        <v>0</v>
      </c>
      <c r="K185" s="348"/>
      <c r="L185" s="348" t="s">
        <v>162</v>
      </c>
      <c r="M185" s="348" t="s">
        <v>983</v>
      </c>
      <c r="N185" s="348" t="s">
        <v>1246</v>
      </c>
      <c r="O185" s="348" t="s">
        <v>586</v>
      </c>
      <c r="P185" s="348" t="s">
        <v>586</v>
      </c>
      <c r="Q185" s="348" t="s">
        <v>586</v>
      </c>
      <c r="R185" s="348"/>
      <c r="S185" s="348" t="s">
        <v>1397</v>
      </c>
      <c r="T185" s="348" t="s">
        <v>1357</v>
      </c>
      <c r="U185" s="348" t="s">
        <v>40</v>
      </c>
      <c r="V185" s="348" t="s">
        <v>983</v>
      </c>
      <c r="W185" s="348" t="s">
        <v>75</v>
      </c>
      <c r="X185" s="348">
        <f t="shared" si="2"/>
        <v>10</v>
      </c>
    </row>
    <row r="186" spans="1:24" ht="300" customHeight="1" x14ac:dyDescent="0.3">
      <c r="A186" s="348" t="s">
        <v>587</v>
      </c>
      <c r="B186" s="348" t="s">
        <v>573</v>
      </c>
      <c r="C186" s="348">
        <v>0</v>
      </c>
      <c r="D186" s="348">
        <v>0</v>
      </c>
      <c r="E186" s="348">
        <v>0</v>
      </c>
      <c r="F186" s="348">
        <v>1</v>
      </c>
      <c r="G186" s="348">
        <v>0</v>
      </c>
      <c r="H186" s="348">
        <v>0</v>
      </c>
      <c r="I186" s="348">
        <v>0</v>
      </c>
      <c r="J186" s="348">
        <v>1</v>
      </c>
      <c r="K186" s="348"/>
      <c r="L186" s="348" t="s">
        <v>162</v>
      </c>
      <c r="M186" s="348" t="s">
        <v>983</v>
      </c>
      <c r="N186" s="348" t="s">
        <v>1246</v>
      </c>
      <c r="O186" s="348" t="s">
        <v>975</v>
      </c>
      <c r="P186" s="348" t="s">
        <v>574</v>
      </c>
      <c r="Q186" s="348" t="s">
        <v>1889</v>
      </c>
      <c r="R186" s="348"/>
      <c r="S186" s="348" t="s">
        <v>1358</v>
      </c>
      <c r="T186" s="348" t="s">
        <v>1117</v>
      </c>
      <c r="U186" s="348" t="s">
        <v>40</v>
      </c>
      <c r="V186" s="348" t="s">
        <v>983</v>
      </c>
      <c r="W186" s="348" t="s">
        <v>41</v>
      </c>
      <c r="X186" s="348">
        <f t="shared" si="2"/>
        <v>5</v>
      </c>
    </row>
    <row r="187" spans="1:24" ht="77.099999999999994" customHeight="1" x14ac:dyDescent="0.3">
      <c r="A187" s="360" t="s">
        <v>590</v>
      </c>
      <c r="B187" s="360" t="s">
        <v>1442</v>
      </c>
      <c r="C187" s="348">
        <v>0</v>
      </c>
      <c r="D187" s="348">
        <v>0</v>
      </c>
      <c r="E187" s="348">
        <v>0</v>
      </c>
      <c r="F187" s="348">
        <v>0</v>
      </c>
      <c r="G187" s="348">
        <v>0</v>
      </c>
      <c r="H187" s="348">
        <v>1</v>
      </c>
      <c r="I187" s="348">
        <v>0</v>
      </c>
      <c r="J187" s="348">
        <v>1</v>
      </c>
      <c r="K187" s="348"/>
      <c r="L187" s="348" t="s">
        <v>591</v>
      </c>
      <c r="M187" s="348" t="s">
        <v>983</v>
      </c>
      <c r="N187" s="348" t="s">
        <v>1359</v>
      </c>
      <c r="O187" s="348" t="s">
        <v>592</v>
      </c>
      <c r="P187" s="348" t="s">
        <v>592</v>
      </c>
      <c r="Q187" s="348" t="s">
        <v>592</v>
      </c>
      <c r="R187" s="348"/>
      <c r="S187" s="348" t="s">
        <v>593</v>
      </c>
      <c r="T187" s="348" t="s">
        <v>594</v>
      </c>
      <c r="U187" s="348" t="s">
        <v>40</v>
      </c>
      <c r="V187" s="348" t="s">
        <v>983</v>
      </c>
      <c r="W187" s="348" t="s">
        <v>46</v>
      </c>
      <c r="X187" s="348">
        <f t="shared" si="2"/>
        <v>20</v>
      </c>
    </row>
    <row r="188" spans="1:24" ht="77.099999999999994" customHeight="1" x14ac:dyDescent="0.3">
      <c r="A188" s="360" t="s">
        <v>595</v>
      </c>
      <c r="B188" s="360" t="s">
        <v>1463</v>
      </c>
      <c r="C188" s="348">
        <v>0</v>
      </c>
      <c r="D188" s="348">
        <v>0</v>
      </c>
      <c r="E188" s="348">
        <v>0</v>
      </c>
      <c r="F188" s="348">
        <v>0</v>
      </c>
      <c r="G188" s="348">
        <v>0</v>
      </c>
      <c r="H188" s="348">
        <v>1</v>
      </c>
      <c r="I188" s="348">
        <v>0</v>
      </c>
      <c r="J188" s="348">
        <v>1</v>
      </c>
      <c r="K188" s="348"/>
      <c r="L188" s="348" t="s">
        <v>591</v>
      </c>
      <c r="M188" s="348" t="s">
        <v>983</v>
      </c>
      <c r="N188" s="348" t="s">
        <v>1359</v>
      </c>
      <c r="O188" s="348" t="s">
        <v>592</v>
      </c>
      <c r="P188" s="348" t="s">
        <v>592</v>
      </c>
      <c r="Q188" s="348" t="s">
        <v>592</v>
      </c>
      <c r="R188" s="348"/>
      <c r="S188" s="348" t="s">
        <v>593</v>
      </c>
      <c r="T188" s="348" t="s">
        <v>594</v>
      </c>
      <c r="U188" s="348" t="s">
        <v>40</v>
      </c>
      <c r="V188" s="348" t="s">
        <v>983</v>
      </c>
      <c r="W188" s="348" t="s">
        <v>46</v>
      </c>
      <c r="X188" s="348">
        <f t="shared" si="2"/>
        <v>20</v>
      </c>
    </row>
    <row r="189" spans="1:24" ht="77.099999999999994" customHeight="1" x14ac:dyDescent="0.3">
      <c r="A189" s="360" t="s">
        <v>597</v>
      </c>
      <c r="B189" s="360" t="s">
        <v>1461</v>
      </c>
      <c r="C189" s="348">
        <v>0</v>
      </c>
      <c r="D189" s="348">
        <v>0</v>
      </c>
      <c r="E189" s="348">
        <v>0</v>
      </c>
      <c r="F189" s="348">
        <v>0</v>
      </c>
      <c r="G189" s="348">
        <v>0</v>
      </c>
      <c r="H189" s="348">
        <v>1</v>
      </c>
      <c r="I189" s="348">
        <v>0</v>
      </c>
      <c r="J189" s="348">
        <v>1</v>
      </c>
      <c r="K189" s="348"/>
      <c r="L189" s="348" t="s">
        <v>591</v>
      </c>
      <c r="M189" s="348" t="s">
        <v>983</v>
      </c>
      <c r="N189" s="348" t="s">
        <v>1359</v>
      </c>
      <c r="O189" s="348" t="s">
        <v>592</v>
      </c>
      <c r="P189" s="348" t="s">
        <v>592</v>
      </c>
      <c r="Q189" s="348" t="s">
        <v>592</v>
      </c>
      <c r="R189" s="348"/>
      <c r="S189" s="348" t="s">
        <v>593</v>
      </c>
      <c r="T189" s="348" t="s">
        <v>594</v>
      </c>
      <c r="U189" s="348" t="s">
        <v>40</v>
      </c>
      <c r="V189" s="348" t="s">
        <v>983</v>
      </c>
      <c r="W189" s="348" t="s">
        <v>46</v>
      </c>
      <c r="X189" s="348">
        <f t="shared" si="2"/>
        <v>20</v>
      </c>
    </row>
    <row r="190" spans="1:24" ht="77.099999999999994" customHeight="1" x14ac:dyDescent="0.3">
      <c r="A190" s="360" t="s">
        <v>599</v>
      </c>
      <c r="B190" s="360" t="s">
        <v>1431</v>
      </c>
      <c r="C190" s="348">
        <v>0</v>
      </c>
      <c r="D190" s="348">
        <v>0</v>
      </c>
      <c r="E190" s="348">
        <v>0</v>
      </c>
      <c r="F190" s="348">
        <v>0</v>
      </c>
      <c r="G190" s="348">
        <v>0</v>
      </c>
      <c r="H190" s="348">
        <v>1</v>
      </c>
      <c r="I190" s="348">
        <v>0</v>
      </c>
      <c r="J190" s="348">
        <v>1</v>
      </c>
      <c r="K190" s="348"/>
      <c r="L190" s="348" t="s">
        <v>591</v>
      </c>
      <c r="M190" s="348" t="s">
        <v>983</v>
      </c>
      <c r="N190" s="348" t="s">
        <v>1359</v>
      </c>
      <c r="O190" s="348" t="s">
        <v>592</v>
      </c>
      <c r="P190" s="348" t="s">
        <v>592</v>
      </c>
      <c r="Q190" s="348" t="s">
        <v>592</v>
      </c>
      <c r="R190" s="348"/>
      <c r="S190" s="348" t="s">
        <v>593</v>
      </c>
      <c r="T190" s="348" t="s">
        <v>594</v>
      </c>
      <c r="U190" s="348" t="s">
        <v>40</v>
      </c>
      <c r="V190" s="348" t="s">
        <v>983</v>
      </c>
      <c r="W190" s="348" t="s">
        <v>46</v>
      </c>
      <c r="X190" s="348">
        <f t="shared" si="2"/>
        <v>20</v>
      </c>
    </row>
    <row r="191" spans="1:24" ht="77.099999999999994" customHeight="1" x14ac:dyDescent="0.3">
      <c r="A191" s="348" t="s">
        <v>601</v>
      </c>
      <c r="B191" s="348" t="s">
        <v>596</v>
      </c>
      <c r="C191" s="348">
        <v>0</v>
      </c>
      <c r="D191" s="348">
        <v>0</v>
      </c>
      <c r="E191" s="348">
        <v>0</v>
      </c>
      <c r="F191" s="348">
        <v>0</v>
      </c>
      <c r="G191" s="348">
        <v>0</v>
      </c>
      <c r="H191" s="348">
        <v>1</v>
      </c>
      <c r="I191" s="348">
        <v>0</v>
      </c>
      <c r="J191" s="348">
        <v>1</v>
      </c>
      <c r="K191" s="348"/>
      <c r="L191" s="348" t="s">
        <v>591</v>
      </c>
      <c r="M191" s="348" t="s">
        <v>983</v>
      </c>
      <c r="N191" s="348" t="s">
        <v>1359</v>
      </c>
      <c r="O191" s="348" t="s">
        <v>592</v>
      </c>
      <c r="P191" s="348" t="s">
        <v>592</v>
      </c>
      <c r="Q191" s="348" t="s">
        <v>592</v>
      </c>
      <c r="R191" s="348"/>
      <c r="S191" s="348" t="s">
        <v>593</v>
      </c>
      <c r="T191" s="348" t="s">
        <v>594</v>
      </c>
      <c r="U191" s="348" t="s">
        <v>40</v>
      </c>
      <c r="V191" s="348" t="s">
        <v>983</v>
      </c>
      <c r="W191" s="348" t="s">
        <v>75</v>
      </c>
      <c r="X191" s="348">
        <f t="shared" si="2"/>
        <v>10</v>
      </c>
    </row>
    <row r="192" spans="1:24" ht="77.099999999999994" customHeight="1" x14ac:dyDescent="0.3">
      <c r="A192" s="348" t="s">
        <v>602</v>
      </c>
      <c r="B192" s="348" t="s">
        <v>598</v>
      </c>
      <c r="C192" s="348">
        <v>0</v>
      </c>
      <c r="D192" s="348">
        <v>0</v>
      </c>
      <c r="E192" s="348">
        <v>0</v>
      </c>
      <c r="F192" s="348">
        <v>0</v>
      </c>
      <c r="G192" s="348">
        <v>0</v>
      </c>
      <c r="H192" s="348">
        <v>1</v>
      </c>
      <c r="I192" s="348">
        <v>0</v>
      </c>
      <c r="J192" s="348">
        <v>1</v>
      </c>
      <c r="K192" s="348"/>
      <c r="L192" s="348" t="s">
        <v>591</v>
      </c>
      <c r="M192" s="348" t="s">
        <v>983</v>
      </c>
      <c r="N192" s="348" t="s">
        <v>1359</v>
      </c>
      <c r="O192" s="348" t="s">
        <v>592</v>
      </c>
      <c r="P192" s="348" t="s">
        <v>592</v>
      </c>
      <c r="Q192" s="348" t="s">
        <v>592</v>
      </c>
      <c r="R192" s="348"/>
      <c r="S192" s="348" t="s">
        <v>593</v>
      </c>
      <c r="T192" s="348" t="s">
        <v>594</v>
      </c>
      <c r="U192" s="348" t="s">
        <v>40</v>
      </c>
      <c r="V192" s="348" t="s">
        <v>983</v>
      </c>
      <c r="W192" s="348" t="s">
        <v>75</v>
      </c>
      <c r="X192" s="348">
        <f t="shared" si="2"/>
        <v>10</v>
      </c>
    </row>
    <row r="193" spans="1:24" ht="77.099999999999994" customHeight="1" x14ac:dyDescent="0.3">
      <c r="A193" s="348" t="s">
        <v>603</v>
      </c>
      <c r="B193" s="348" t="s">
        <v>600</v>
      </c>
      <c r="C193" s="348">
        <v>0</v>
      </c>
      <c r="D193" s="348">
        <v>0</v>
      </c>
      <c r="E193" s="348">
        <v>0</v>
      </c>
      <c r="F193" s="348">
        <v>0</v>
      </c>
      <c r="G193" s="348">
        <v>0</v>
      </c>
      <c r="H193" s="348">
        <v>1</v>
      </c>
      <c r="I193" s="348">
        <v>0</v>
      </c>
      <c r="J193" s="348">
        <v>1</v>
      </c>
      <c r="K193" s="348"/>
      <c r="L193" s="348" t="s">
        <v>591</v>
      </c>
      <c r="M193" s="348" t="s">
        <v>983</v>
      </c>
      <c r="N193" s="348" t="s">
        <v>1359</v>
      </c>
      <c r="O193" s="348" t="s">
        <v>592</v>
      </c>
      <c r="P193" s="348" t="s">
        <v>592</v>
      </c>
      <c r="Q193" s="348" t="s">
        <v>592</v>
      </c>
      <c r="R193" s="348"/>
      <c r="S193" s="348" t="s">
        <v>593</v>
      </c>
      <c r="T193" s="348" t="s">
        <v>594</v>
      </c>
      <c r="U193" s="348" t="s">
        <v>40</v>
      </c>
      <c r="V193" s="348" t="s">
        <v>983</v>
      </c>
      <c r="W193" s="348" t="s">
        <v>75</v>
      </c>
      <c r="X193" s="348">
        <f t="shared" si="2"/>
        <v>10</v>
      </c>
    </row>
    <row r="194" spans="1:24" ht="77.099999999999994" customHeight="1" x14ac:dyDescent="0.3">
      <c r="A194" s="348" t="s">
        <v>605</v>
      </c>
      <c r="B194" s="348" t="s">
        <v>1432</v>
      </c>
      <c r="C194" s="348">
        <v>0</v>
      </c>
      <c r="D194" s="348">
        <v>0</v>
      </c>
      <c r="E194" s="348">
        <v>0</v>
      </c>
      <c r="F194" s="348">
        <v>0</v>
      </c>
      <c r="G194" s="348">
        <v>0</v>
      </c>
      <c r="H194" s="348">
        <v>1</v>
      </c>
      <c r="I194" s="348">
        <v>0</v>
      </c>
      <c r="J194" s="348">
        <v>1</v>
      </c>
      <c r="K194" s="348"/>
      <c r="L194" s="348" t="s">
        <v>591</v>
      </c>
      <c r="M194" s="348" t="s">
        <v>983</v>
      </c>
      <c r="N194" s="348" t="s">
        <v>1359</v>
      </c>
      <c r="O194" s="348" t="s">
        <v>592</v>
      </c>
      <c r="P194" s="348" t="s">
        <v>592</v>
      </c>
      <c r="Q194" s="348" t="s">
        <v>592</v>
      </c>
      <c r="R194" s="348"/>
      <c r="S194" s="348" t="s">
        <v>593</v>
      </c>
      <c r="T194" s="348" t="s">
        <v>594</v>
      </c>
      <c r="U194" s="348" t="s">
        <v>40</v>
      </c>
      <c r="V194" s="348" t="s">
        <v>983</v>
      </c>
      <c r="W194" s="348" t="s">
        <v>75</v>
      </c>
      <c r="X194" s="348">
        <f t="shared" si="2"/>
        <v>10</v>
      </c>
    </row>
    <row r="195" spans="1:24" ht="77.099999999999994" customHeight="1" x14ac:dyDescent="0.3">
      <c r="A195" s="348" t="s">
        <v>607</v>
      </c>
      <c r="B195" s="348" t="s">
        <v>604</v>
      </c>
      <c r="C195" s="348">
        <v>0</v>
      </c>
      <c r="D195" s="348">
        <v>0</v>
      </c>
      <c r="E195" s="348">
        <v>0</v>
      </c>
      <c r="F195" s="348">
        <v>0</v>
      </c>
      <c r="G195" s="348">
        <v>0</v>
      </c>
      <c r="H195" s="348">
        <v>1</v>
      </c>
      <c r="I195" s="348">
        <v>0</v>
      </c>
      <c r="J195" s="348">
        <v>1</v>
      </c>
      <c r="K195" s="348"/>
      <c r="L195" s="348" t="s">
        <v>591</v>
      </c>
      <c r="M195" s="348" t="s">
        <v>983</v>
      </c>
      <c r="N195" s="348" t="s">
        <v>1359</v>
      </c>
      <c r="O195" s="348" t="s">
        <v>592</v>
      </c>
      <c r="P195" s="348" t="s">
        <v>592</v>
      </c>
      <c r="Q195" s="348" t="s">
        <v>592</v>
      </c>
      <c r="R195" s="348"/>
      <c r="S195" s="348" t="s">
        <v>593</v>
      </c>
      <c r="T195" s="348" t="s">
        <v>594</v>
      </c>
      <c r="U195" s="348" t="s">
        <v>40</v>
      </c>
      <c r="V195" s="348" t="s">
        <v>983</v>
      </c>
      <c r="W195" s="348" t="s">
        <v>75</v>
      </c>
      <c r="X195" s="348">
        <f t="shared" si="2"/>
        <v>10</v>
      </c>
    </row>
    <row r="196" spans="1:24" ht="77.099999999999994" customHeight="1" x14ac:dyDescent="0.3">
      <c r="A196" s="348" t="s">
        <v>609</v>
      </c>
      <c r="B196" s="348" t="s">
        <v>606</v>
      </c>
      <c r="C196" s="348">
        <v>0</v>
      </c>
      <c r="D196" s="348">
        <v>0</v>
      </c>
      <c r="E196" s="348">
        <v>0</v>
      </c>
      <c r="F196" s="348">
        <v>0</v>
      </c>
      <c r="G196" s="348">
        <v>0</v>
      </c>
      <c r="H196" s="348">
        <v>1</v>
      </c>
      <c r="I196" s="348">
        <v>0</v>
      </c>
      <c r="J196" s="348">
        <v>1</v>
      </c>
      <c r="K196" s="348"/>
      <c r="L196" s="348" t="s">
        <v>591</v>
      </c>
      <c r="M196" s="348" t="s">
        <v>983</v>
      </c>
      <c r="N196" s="348" t="s">
        <v>1359</v>
      </c>
      <c r="O196" s="348" t="s">
        <v>592</v>
      </c>
      <c r="P196" s="348" t="s">
        <v>592</v>
      </c>
      <c r="Q196" s="348" t="s">
        <v>592</v>
      </c>
      <c r="R196" s="348"/>
      <c r="S196" s="348" t="s">
        <v>593</v>
      </c>
      <c r="T196" s="348" t="s">
        <v>594</v>
      </c>
      <c r="U196" s="348" t="s">
        <v>40</v>
      </c>
      <c r="V196" s="348" t="s">
        <v>983</v>
      </c>
      <c r="W196" s="348" t="s">
        <v>75</v>
      </c>
      <c r="X196" s="348">
        <f t="shared" si="2"/>
        <v>10</v>
      </c>
    </row>
    <row r="197" spans="1:24" ht="77.099999999999994" customHeight="1" x14ac:dyDescent="0.3">
      <c r="A197" s="348" t="s">
        <v>611</v>
      </c>
      <c r="B197" s="348" t="s">
        <v>608</v>
      </c>
      <c r="C197" s="348">
        <v>0</v>
      </c>
      <c r="D197" s="348">
        <v>0</v>
      </c>
      <c r="E197" s="348">
        <v>0</v>
      </c>
      <c r="F197" s="348">
        <v>0</v>
      </c>
      <c r="G197" s="348">
        <v>0</v>
      </c>
      <c r="H197" s="348">
        <v>1</v>
      </c>
      <c r="I197" s="348">
        <v>0</v>
      </c>
      <c r="J197" s="348">
        <v>1</v>
      </c>
      <c r="K197" s="348"/>
      <c r="L197" s="348" t="s">
        <v>591</v>
      </c>
      <c r="M197" s="348" t="s">
        <v>983</v>
      </c>
      <c r="N197" s="348" t="s">
        <v>1359</v>
      </c>
      <c r="O197" s="348" t="s">
        <v>592</v>
      </c>
      <c r="P197" s="348" t="s">
        <v>592</v>
      </c>
      <c r="Q197" s="348" t="s">
        <v>592</v>
      </c>
      <c r="R197" s="348"/>
      <c r="S197" s="348" t="s">
        <v>593</v>
      </c>
      <c r="T197" s="348" t="s">
        <v>594</v>
      </c>
      <c r="U197" s="348" t="s">
        <v>40</v>
      </c>
      <c r="V197" s="348" t="s">
        <v>983</v>
      </c>
      <c r="W197" s="348" t="s">
        <v>75</v>
      </c>
      <c r="X197" s="348">
        <f t="shared" si="2"/>
        <v>10</v>
      </c>
    </row>
    <row r="198" spans="1:24" ht="77.099999999999994" customHeight="1" x14ac:dyDescent="0.3">
      <c r="A198" s="348" t="s">
        <v>613</v>
      </c>
      <c r="B198" s="348" t="s">
        <v>610</v>
      </c>
      <c r="C198" s="348">
        <v>0</v>
      </c>
      <c r="D198" s="348">
        <v>0</v>
      </c>
      <c r="E198" s="348">
        <v>0</v>
      </c>
      <c r="F198" s="348">
        <v>0</v>
      </c>
      <c r="G198" s="348">
        <v>0</v>
      </c>
      <c r="H198" s="348">
        <v>1</v>
      </c>
      <c r="I198" s="348">
        <v>0</v>
      </c>
      <c r="J198" s="348">
        <v>1</v>
      </c>
      <c r="K198" s="348"/>
      <c r="L198" s="348" t="s">
        <v>591</v>
      </c>
      <c r="M198" s="348" t="s">
        <v>983</v>
      </c>
      <c r="N198" s="348" t="s">
        <v>1359</v>
      </c>
      <c r="O198" s="348" t="s">
        <v>592</v>
      </c>
      <c r="P198" s="348" t="s">
        <v>592</v>
      </c>
      <c r="Q198" s="348" t="s">
        <v>592</v>
      </c>
      <c r="R198" s="348"/>
      <c r="S198" s="348" t="s">
        <v>593</v>
      </c>
      <c r="T198" s="348" t="s">
        <v>594</v>
      </c>
      <c r="U198" s="348" t="s">
        <v>40</v>
      </c>
      <c r="V198" s="348" t="s">
        <v>983</v>
      </c>
      <c r="W198" s="348" t="s">
        <v>75</v>
      </c>
      <c r="X198" s="348">
        <f t="shared" si="2"/>
        <v>10</v>
      </c>
    </row>
    <row r="199" spans="1:24" ht="77.099999999999994" customHeight="1" x14ac:dyDescent="0.3">
      <c r="A199" s="348" t="s">
        <v>615</v>
      </c>
      <c r="B199" s="348" t="s">
        <v>612</v>
      </c>
      <c r="C199" s="348">
        <v>0</v>
      </c>
      <c r="D199" s="348">
        <v>0</v>
      </c>
      <c r="E199" s="348">
        <v>0</v>
      </c>
      <c r="F199" s="348">
        <v>0</v>
      </c>
      <c r="G199" s="348">
        <v>0</v>
      </c>
      <c r="H199" s="348">
        <v>1</v>
      </c>
      <c r="I199" s="348">
        <v>0</v>
      </c>
      <c r="J199" s="348">
        <v>1</v>
      </c>
      <c r="K199" s="348"/>
      <c r="L199" s="348" t="s">
        <v>591</v>
      </c>
      <c r="M199" s="348" t="s">
        <v>983</v>
      </c>
      <c r="N199" s="348" t="s">
        <v>1359</v>
      </c>
      <c r="O199" s="348" t="s">
        <v>592</v>
      </c>
      <c r="P199" s="348" t="s">
        <v>592</v>
      </c>
      <c r="Q199" s="348" t="s">
        <v>592</v>
      </c>
      <c r="R199" s="348"/>
      <c r="S199" s="348" t="s">
        <v>593</v>
      </c>
      <c r="T199" s="348" t="s">
        <v>594</v>
      </c>
      <c r="U199" s="348" t="s">
        <v>40</v>
      </c>
      <c r="V199" s="348" t="s">
        <v>983</v>
      </c>
      <c r="W199" s="348" t="s">
        <v>75</v>
      </c>
      <c r="X199" s="348">
        <f t="shared" si="2"/>
        <v>10</v>
      </c>
    </row>
    <row r="200" spans="1:24" ht="77.099999999999994" customHeight="1" x14ac:dyDescent="0.3">
      <c r="A200" s="348" t="s">
        <v>617</v>
      </c>
      <c r="B200" s="348" t="s">
        <v>614</v>
      </c>
      <c r="C200" s="348">
        <v>0</v>
      </c>
      <c r="D200" s="348">
        <v>0</v>
      </c>
      <c r="E200" s="348">
        <v>0</v>
      </c>
      <c r="F200" s="348">
        <v>0</v>
      </c>
      <c r="G200" s="348">
        <v>0</v>
      </c>
      <c r="H200" s="348">
        <v>1</v>
      </c>
      <c r="I200" s="348">
        <v>0</v>
      </c>
      <c r="J200" s="348">
        <v>1</v>
      </c>
      <c r="K200" s="348"/>
      <c r="L200" s="348" t="s">
        <v>591</v>
      </c>
      <c r="M200" s="348" t="s">
        <v>983</v>
      </c>
      <c r="N200" s="348" t="s">
        <v>1359</v>
      </c>
      <c r="O200" s="348" t="s">
        <v>592</v>
      </c>
      <c r="P200" s="348" t="s">
        <v>592</v>
      </c>
      <c r="Q200" s="348" t="s">
        <v>592</v>
      </c>
      <c r="R200" s="348"/>
      <c r="S200" s="348" t="s">
        <v>593</v>
      </c>
      <c r="T200" s="348" t="s">
        <v>594</v>
      </c>
      <c r="U200" s="348" t="s">
        <v>148</v>
      </c>
      <c r="V200" s="348" t="s">
        <v>983</v>
      </c>
      <c r="W200" s="348" t="s">
        <v>75</v>
      </c>
      <c r="X200" s="348">
        <f t="shared" si="2"/>
        <v>10</v>
      </c>
    </row>
    <row r="201" spans="1:24" ht="77.099999999999994" customHeight="1" x14ac:dyDescent="0.3">
      <c r="A201" s="348" t="s">
        <v>619</v>
      </c>
      <c r="B201" s="348" t="s">
        <v>616</v>
      </c>
      <c r="C201" s="348">
        <v>0</v>
      </c>
      <c r="D201" s="348">
        <v>0</v>
      </c>
      <c r="E201" s="348">
        <v>0</v>
      </c>
      <c r="F201" s="348">
        <v>0</v>
      </c>
      <c r="G201" s="348">
        <v>0</v>
      </c>
      <c r="H201" s="348">
        <v>1</v>
      </c>
      <c r="I201" s="348">
        <v>0</v>
      </c>
      <c r="J201" s="348">
        <v>1</v>
      </c>
      <c r="K201" s="348"/>
      <c r="L201" s="348" t="s">
        <v>591</v>
      </c>
      <c r="M201" s="348" t="s">
        <v>983</v>
      </c>
      <c r="N201" s="348" t="s">
        <v>1359</v>
      </c>
      <c r="O201" s="348" t="s">
        <v>592</v>
      </c>
      <c r="P201" s="348" t="s">
        <v>592</v>
      </c>
      <c r="Q201" s="348" t="s">
        <v>592</v>
      </c>
      <c r="R201" s="348"/>
      <c r="S201" s="348" t="s">
        <v>593</v>
      </c>
      <c r="T201" s="348" t="s">
        <v>594</v>
      </c>
      <c r="U201" s="348" t="s">
        <v>40</v>
      </c>
      <c r="V201" s="348" t="s">
        <v>983</v>
      </c>
      <c r="W201" s="348" t="s">
        <v>75</v>
      </c>
      <c r="X201" s="348">
        <f t="shared" si="2"/>
        <v>10</v>
      </c>
    </row>
    <row r="202" spans="1:24" ht="77.099999999999994" customHeight="1" x14ac:dyDescent="0.3">
      <c r="A202" s="348" t="s">
        <v>621</v>
      </c>
      <c r="B202" s="348" t="s">
        <v>618</v>
      </c>
      <c r="C202" s="348">
        <v>0</v>
      </c>
      <c r="D202" s="348">
        <v>0</v>
      </c>
      <c r="E202" s="348">
        <v>0</v>
      </c>
      <c r="F202" s="348">
        <v>0</v>
      </c>
      <c r="G202" s="348">
        <v>0</v>
      </c>
      <c r="H202" s="348">
        <v>1</v>
      </c>
      <c r="I202" s="348">
        <v>0</v>
      </c>
      <c r="J202" s="348">
        <v>1</v>
      </c>
      <c r="K202" s="348"/>
      <c r="L202" s="348" t="s">
        <v>591</v>
      </c>
      <c r="M202" s="348" t="s">
        <v>983</v>
      </c>
      <c r="N202" s="348" t="s">
        <v>1359</v>
      </c>
      <c r="O202" s="348" t="s">
        <v>592</v>
      </c>
      <c r="P202" s="348" t="s">
        <v>592</v>
      </c>
      <c r="Q202" s="348" t="s">
        <v>592</v>
      </c>
      <c r="R202" s="348"/>
      <c r="S202" s="348" t="s">
        <v>593</v>
      </c>
      <c r="T202" s="348" t="s">
        <v>594</v>
      </c>
      <c r="U202" s="348" t="s">
        <v>40</v>
      </c>
      <c r="V202" s="348" t="s">
        <v>983</v>
      </c>
      <c r="W202" s="348" t="s">
        <v>75</v>
      </c>
      <c r="X202" s="348">
        <f t="shared" si="2"/>
        <v>10</v>
      </c>
    </row>
    <row r="203" spans="1:24" ht="77.099999999999994" customHeight="1" x14ac:dyDescent="0.3">
      <c r="A203" s="348" t="s">
        <v>623</v>
      </c>
      <c r="B203" s="348" t="s">
        <v>620</v>
      </c>
      <c r="C203" s="348">
        <v>0</v>
      </c>
      <c r="D203" s="348">
        <v>0</v>
      </c>
      <c r="E203" s="348">
        <v>0</v>
      </c>
      <c r="F203" s="348">
        <v>0</v>
      </c>
      <c r="G203" s="348">
        <v>0</v>
      </c>
      <c r="H203" s="348">
        <v>1</v>
      </c>
      <c r="I203" s="348">
        <v>0</v>
      </c>
      <c r="J203" s="348">
        <v>1</v>
      </c>
      <c r="K203" s="348"/>
      <c r="L203" s="348" t="s">
        <v>591</v>
      </c>
      <c r="M203" s="348" t="s">
        <v>983</v>
      </c>
      <c r="N203" s="348" t="s">
        <v>1359</v>
      </c>
      <c r="O203" s="348" t="s">
        <v>592</v>
      </c>
      <c r="P203" s="348" t="s">
        <v>592</v>
      </c>
      <c r="Q203" s="348" t="s">
        <v>592</v>
      </c>
      <c r="R203" s="348"/>
      <c r="S203" s="348" t="s">
        <v>593</v>
      </c>
      <c r="T203" s="348" t="s">
        <v>594</v>
      </c>
      <c r="U203" s="348" t="s">
        <v>40</v>
      </c>
      <c r="V203" s="348" t="s">
        <v>983</v>
      </c>
      <c r="W203" s="348" t="s">
        <v>75</v>
      </c>
      <c r="X203" s="348">
        <f t="shared" si="2"/>
        <v>10</v>
      </c>
    </row>
    <row r="204" spans="1:24" ht="77.099999999999994" customHeight="1" x14ac:dyDescent="0.3">
      <c r="A204" s="348" t="s">
        <v>625</v>
      </c>
      <c r="B204" s="348" t="s">
        <v>622</v>
      </c>
      <c r="C204" s="348">
        <v>0</v>
      </c>
      <c r="D204" s="348">
        <v>0</v>
      </c>
      <c r="E204" s="348">
        <v>0</v>
      </c>
      <c r="F204" s="348">
        <v>0</v>
      </c>
      <c r="G204" s="348">
        <v>0</v>
      </c>
      <c r="H204" s="348">
        <v>1</v>
      </c>
      <c r="I204" s="348">
        <v>0</v>
      </c>
      <c r="J204" s="348">
        <v>1</v>
      </c>
      <c r="K204" s="348"/>
      <c r="L204" s="348" t="s">
        <v>591</v>
      </c>
      <c r="M204" s="348" t="s">
        <v>983</v>
      </c>
      <c r="N204" s="348" t="s">
        <v>1359</v>
      </c>
      <c r="O204" s="348" t="s">
        <v>592</v>
      </c>
      <c r="P204" s="348" t="s">
        <v>592</v>
      </c>
      <c r="Q204" s="348" t="s">
        <v>592</v>
      </c>
      <c r="R204" s="348"/>
      <c r="S204" s="348" t="s">
        <v>593</v>
      </c>
      <c r="T204" s="348" t="s">
        <v>594</v>
      </c>
      <c r="U204" s="348" t="s">
        <v>148</v>
      </c>
      <c r="V204" s="348" t="s">
        <v>983</v>
      </c>
      <c r="W204" s="348" t="s">
        <v>75</v>
      </c>
      <c r="X204" s="348">
        <f t="shared" ref="X204:X237" si="3">IF($W204="Critical Importance",20,IF($W204="Minor Importance",5,10))</f>
        <v>10</v>
      </c>
    </row>
    <row r="205" spans="1:24" ht="77.099999999999994" customHeight="1" x14ac:dyDescent="0.3">
      <c r="A205" s="348" t="s">
        <v>626</v>
      </c>
      <c r="B205" s="348" t="s">
        <v>624</v>
      </c>
      <c r="C205" s="348">
        <v>0</v>
      </c>
      <c r="D205" s="348">
        <v>0</v>
      </c>
      <c r="E205" s="348">
        <v>0</v>
      </c>
      <c r="F205" s="348">
        <v>0</v>
      </c>
      <c r="G205" s="348">
        <v>0</v>
      </c>
      <c r="H205" s="348">
        <v>1</v>
      </c>
      <c r="I205" s="348">
        <v>0</v>
      </c>
      <c r="J205" s="348">
        <v>1</v>
      </c>
      <c r="K205" s="348"/>
      <c r="L205" s="348" t="s">
        <v>591</v>
      </c>
      <c r="M205" s="348" t="s">
        <v>983</v>
      </c>
      <c r="N205" s="348" t="s">
        <v>1359</v>
      </c>
      <c r="O205" s="348" t="s">
        <v>592</v>
      </c>
      <c r="P205" s="348" t="s">
        <v>592</v>
      </c>
      <c r="Q205" s="348" t="s">
        <v>592</v>
      </c>
      <c r="R205" s="348"/>
      <c r="S205" s="348" t="s">
        <v>593</v>
      </c>
      <c r="T205" s="348" t="s">
        <v>594</v>
      </c>
      <c r="U205" s="348" t="s">
        <v>40</v>
      </c>
      <c r="V205" s="348" t="s">
        <v>983</v>
      </c>
      <c r="W205" s="348" t="s">
        <v>75</v>
      </c>
      <c r="X205" s="348">
        <f t="shared" si="3"/>
        <v>10</v>
      </c>
    </row>
    <row r="206" spans="1:24" ht="77.099999999999994" customHeight="1" x14ac:dyDescent="0.3">
      <c r="A206" s="348" t="s">
        <v>628</v>
      </c>
      <c r="B206" s="348" t="s">
        <v>1360</v>
      </c>
      <c r="C206" s="348">
        <v>0</v>
      </c>
      <c r="D206" s="348">
        <v>0</v>
      </c>
      <c r="E206" s="348">
        <v>0</v>
      </c>
      <c r="F206" s="348">
        <v>0</v>
      </c>
      <c r="G206" s="348">
        <v>0</v>
      </c>
      <c r="H206" s="348">
        <v>1</v>
      </c>
      <c r="I206" s="348">
        <v>0</v>
      </c>
      <c r="J206" s="348">
        <v>1</v>
      </c>
      <c r="K206" s="348"/>
      <c r="L206" s="348" t="s">
        <v>591</v>
      </c>
      <c r="M206" s="348" t="s">
        <v>983</v>
      </c>
      <c r="N206" s="348" t="s">
        <v>1359</v>
      </c>
      <c r="O206" s="348" t="s">
        <v>592</v>
      </c>
      <c r="P206" s="348" t="s">
        <v>592</v>
      </c>
      <c r="Q206" s="348" t="s">
        <v>592</v>
      </c>
      <c r="R206" s="348"/>
      <c r="S206" s="348" t="s">
        <v>593</v>
      </c>
      <c r="T206" s="348" t="s">
        <v>594</v>
      </c>
      <c r="U206" s="348" t="s">
        <v>40</v>
      </c>
      <c r="V206" s="348" t="s">
        <v>983</v>
      </c>
      <c r="W206" s="348" t="s">
        <v>75</v>
      </c>
      <c r="X206" s="348">
        <f t="shared" si="3"/>
        <v>10</v>
      </c>
    </row>
    <row r="207" spans="1:24" ht="77.099999999999994" customHeight="1" x14ac:dyDescent="0.3">
      <c r="A207" s="348" t="s">
        <v>629</v>
      </c>
      <c r="B207" s="348" t="s">
        <v>627</v>
      </c>
      <c r="C207" s="348">
        <v>0</v>
      </c>
      <c r="D207" s="348">
        <v>0</v>
      </c>
      <c r="E207" s="348">
        <v>0</v>
      </c>
      <c r="F207" s="348">
        <v>0</v>
      </c>
      <c r="G207" s="348">
        <v>0</v>
      </c>
      <c r="H207" s="348">
        <v>1</v>
      </c>
      <c r="I207" s="348">
        <v>0</v>
      </c>
      <c r="J207" s="348">
        <v>1</v>
      </c>
      <c r="K207" s="348"/>
      <c r="L207" s="348" t="s">
        <v>591</v>
      </c>
      <c r="M207" s="348" t="s">
        <v>983</v>
      </c>
      <c r="N207" s="348" t="s">
        <v>1359</v>
      </c>
      <c r="O207" s="348" t="s">
        <v>592</v>
      </c>
      <c r="P207" s="348" t="s">
        <v>592</v>
      </c>
      <c r="Q207" s="348" t="s">
        <v>592</v>
      </c>
      <c r="R207" s="348"/>
      <c r="S207" s="348" t="s">
        <v>593</v>
      </c>
      <c r="T207" s="348" t="s">
        <v>594</v>
      </c>
      <c r="U207" s="348" t="s">
        <v>40</v>
      </c>
      <c r="V207" s="348" t="s">
        <v>983</v>
      </c>
      <c r="W207" s="348" t="s">
        <v>75</v>
      </c>
      <c r="X207" s="348">
        <f t="shared" si="3"/>
        <v>10</v>
      </c>
    </row>
    <row r="208" spans="1:24" ht="77.099999999999994" customHeight="1" x14ac:dyDescent="0.3">
      <c r="A208" s="348" t="s">
        <v>630</v>
      </c>
      <c r="B208" s="348" t="s">
        <v>1118</v>
      </c>
      <c r="C208" s="348">
        <v>0</v>
      </c>
      <c r="D208" s="348">
        <v>0</v>
      </c>
      <c r="E208" s="348">
        <v>0</v>
      </c>
      <c r="F208" s="348">
        <v>0</v>
      </c>
      <c r="G208" s="348">
        <v>0</v>
      </c>
      <c r="H208" s="348">
        <v>1</v>
      </c>
      <c r="I208" s="348">
        <v>0</v>
      </c>
      <c r="J208" s="348">
        <v>1</v>
      </c>
      <c r="K208" s="348"/>
      <c r="L208" s="348" t="s">
        <v>591</v>
      </c>
      <c r="M208" s="348" t="s">
        <v>983</v>
      </c>
      <c r="N208" s="348" t="s">
        <v>1359</v>
      </c>
      <c r="O208" s="348" t="s">
        <v>592</v>
      </c>
      <c r="P208" s="348" t="s">
        <v>592</v>
      </c>
      <c r="Q208" s="348" t="s">
        <v>592</v>
      </c>
      <c r="R208" s="348"/>
      <c r="S208" s="348" t="s">
        <v>593</v>
      </c>
      <c r="T208" s="348" t="s">
        <v>594</v>
      </c>
      <c r="U208" s="348" t="s">
        <v>40</v>
      </c>
      <c r="V208" s="348" t="s">
        <v>983</v>
      </c>
      <c r="W208" s="348" t="s">
        <v>75</v>
      </c>
      <c r="X208" s="348">
        <f t="shared" si="3"/>
        <v>10</v>
      </c>
    </row>
    <row r="209" spans="1:24" ht="77.099999999999994" customHeight="1" x14ac:dyDescent="0.3">
      <c r="A209" s="348" t="s">
        <v>632</v>
      </c>
      <c r="B209" s="348" t="s">
        <v>1529</v>
      </c>
      <c r="C209" s="348">
        <v>0</v>
      </c>
      <c r="D209" s="348">
        <v>0</v>
      </c>
      <c r="E209" s="348">
        <v>0</v>
      </c>
      <c r="F209" s="348">
        <v>0</v>
      </c>
      <c r="G209" s="348">
        <v>0</v>
      </c>
      <c r="H209" s="348">
        <v>1</v>
      </c>
      <c r="I209" s="348">
        <v>0</v>
      </c>
      <c r="J209" s="348">
        <v>1</v>
      </c>
      <c r="K209" s="348"/>
      <c r="L209" s="348" t="s">
        <v>591</v>
      </c>
      <c r="M209" s="348" t="s">
        <v>983</v>
      </c>
      <c r="N209" s="348" t="s">
        <v>1359</v>
      </c>
      <c r="O209" s="348" t="s">
        <v>592</v>
      </c>
      <c r="P209" s="348" t="s">
        <v>1531</v>
      </c>
      <c r="Q209" s="348" t="s">
        <v>1531</v>
      </c>
      <c r="R209" s="348"/>
      <c r="S209" s="348" t="s">
        <v>593</v>
      </c>
      <c r="T209" s="348" t="s">
        <v>594</v>
      </c>
      <c r="U209" s="348" t="s">
        <v>40</v>
      </c>
      <c r="V209" s="348" t="s">
        <v>983</v>
      </c>
      <c r="W209" s="348" t="s">
        <v>75</v>
      </c>
      <c r="X209" s="348">
        <f t="shared" si="3"/>
        <v>10</v>
      </c>
    </row>
    <row r="210" spans="1:24" ht="77.099999999999994" customHeight="1" x14ac:dyDescent="0.3">
      <c r="A210" s="348" t="s">
        <v>634</v>
      </c>
      <c r="B210" s="348" t="s">
        <v>631</v>
      </c>
      <c r="C210" s="348">
        <v>0</v>
      </c>
      <c r="D210" s="348">
        <v>0</v>
      </c>
      <c r="E210" s="348">
        <v>0</v>
      </c>
      <c r="F210" s="348">
        <v>0</v>
      </c>
      <c r="G210" s="348">
        <v>0</v>
      </c>
      <c r="H210" s="348">
        <v>1</v>
      </c>
      <c r="I210" s="348">
        <v>0</v>
      </c>
      <c r="J210" s="348">
        <v>1</v>
      </c>
      <c r="K210" s="348"/>
      <c r="L210" s="348" t="s">
        <v>591</v>
      </c>
      <c r="M210" s="348" t="s">
        <v>983</v>
      </c>
      <c r="N210" s="348" t="s">
        <v>1359</v>
      </c>
      <c r="O210" s="348" t="s">
        <v>592</v>
      </c>
      <c r="P210" s="348" t="s">
        <v>592</v>
      </c>
      <c r="Q210" s="348" t="s">
        <v>592</v>
      </c>
      <c r="R210" s="348"/>
      <c r="S210" s="348" t="s">
        <v>593</v>
      </c>
      <c r="T210" s="348" t="s">
        <v>594</v>
      </c>
      <c r="U210" s="348" t="s">
        <v>40</v>
      </c>
      <c r="V210" s="348" t="s">
        <v>983</v>
      </c>
      <c r="W210" s="348" t="s">
        <v>75</v>
      </c>
      <c r="X210" s="348">
        <f t="shared" si="3"/>
        <v>10</v>
      </c>
    </row>
    <row r="211" spans="1:24" ht="77.099999999999994" customHeight="1" x14ac:dyDescent="0.3">
      <c r="A211" s="348" t="s">
        <v>636</v>
      </c>
      <c r="B211" s="348" t="s">
        <v>633</v>
      </c>
      <c r="C211" s="348">
        <v>0</v>
      </c>
      <c r="D211" s="348">
        <v>0</v>
      </c>
      <c r="E211" s="348">
        <v>0</v>
      </c>
      <c r="F211" s="348">
        <v>0</v>
      </c>
      <c r="G211" s="348">
        <v>0</v>
      </c>
      <c r="H211" s="348">
        <v>1</v>
      </c>
      <c r="I211" s="348">
        <v>0</v>
      </c>
      <c r="J211" s="348">
        <v>1</v>
      </c>
      <c r="K211" s="348"/>
      <c r="L211" s="348" t="s">
        <v>591</v>
      </c>
      <c r="M211" s="348" t="s">
        <v>983</v>
      </c>
      <c r="N211" s="348" t="s">
        <v>1359</v>
      </c>
      <c r="O211" s="348" t="s">
        <v>592</v>
      </c>
      <c r="P211" s="348" t="s">
        <v>592</v>
      </c>
      <c r="Q211" s="348" t="s">
        <v>592</v>
      </c>
      <c r="R211" s="348"/>
      <c r="S211" s="348" t="s">
        <v>593</v>
      </c>
      <c r="T211" s="348" t="s">
        <v>594</v>
      </c>
      <c r="U211" s="348" t="s">
        <v>40</v>
      </c>
      <c r="V211" s="348" t="s">
        <v>983</v>
      </c>
      <c r="W211" s="348" t="s">
        <v>75</v>
      </c>
      <c r="X211" s="348">
        <f t="shared" si="3"/>
        <v>10</v>
      </c>
    </row>
    <row r="212" spans="1:24" ht="77.099999999999994" customHeight="1" x14ac:dyDescent="0.3">
      <c r="A212" s="348" t="s">
        <v>638</v>
      </c>
      <c r="B212" s="348" t="s">
        <v>637</v>
      </c>
      <c r="C212" s="348">
        <v>0</v>
      </c>
      <c r="D212" s="348">
        <v>0</v>
      </c>
      <c r="E212" s="348">
        <v>0</v>
      </c>
      <c r="F212" s="348">
        <v>0</v>
      </c>
      <c r="G212" s="348">
        <v>0</v>
      </c>
      <c r="H212" s="348">
        <v>1</v>
      </c>
      <c r="I212" s="348">
        <v>0</v>
      </c>
      <c r="J212" s="348">
        <v>1</v>
      </c>
      <c r="K212" s="348"/>
      <c r="L212" s="348" t="s">
        <v>591</v>
      </c>
      <c r="M212" s="348" t="s">
        <v>983</v>
      </c>
      <c r="N212" s="348" t="s">
        <v>1359</v>
      </c>
      <c r="O212" s="348" t="s">
        <v>592</v>
      </c>
      <c r="P212" s="348" t="s">
        <v>592</v>
      </c>
      <c r="Q212" s="348" t="s">
        <v>592</v>
      </c>
      <c r="R212" s="348"/>
      <c r="S212" s="348" t="s">
        <v>593</v>
      </c>
      <c r="T212" s="348" t="s">
        <v>594</v>
      </c>
      <c r="U212" s="348" t="s">
        <v>40</v>
      </c>
      <c r="V212" s="348" t="s">
        <v>983</v>
      </c>
      <c r="W212" s="348" t="s">
        <v>75</v>
      </c>
      <c r="X212" s="348">
        <f t="shared" si="3"/>
        <v>10</v>
      </c>
    </row>
    <row r="213" spans="1:24" ht="77.099999999999994" customHeight="1" x14ac:dyDescent="0.3">
      <c r="A213" s="348" t="s">
        <v>639</v>
      </c>
      <c r="B213" s="348" t="s">
        <v>640</v>
      </c>
      <c r="C213" s="348">
        <v>0</v>
      </c>
      <c r="D213" s="348">
        <v>0</v>
      </c>
      <c r="E213" s="348">
        <v>0</v>
      </c>
      <c r="F213" s="348">
        <v>0</v>
      </c>
      <c r="G213" s="348">
        <v>0</v>
      </c>
      <c r="H213" s="348">
        <v>1</v>
      </c>
      <c r="I213" s="348">
        <v>0</v>
      </c>
      <c r="J213" s="348">
        <v>1</v>
      </c>
      <c r="K213" s="348"/>
      <c r="L213" s="348" t="s">
        <v>591</v>
      </c>
      <c r="M213" s="348" t="s">
        <v>983</v>
      </c>
      <c r="N213" s="348" t="s">
        <v>1359</v>
      </c>
      <c r="O213" s="348" t="s">
        <v>592</v>
      </c>
      <c r="P213" s="348" t="s">
        <v>592</v>
      </c>
      <c r="Q213" s="348" t="s">
        <v>592</v>
      </c>
      <c r="R213" s="348"/>
      <c r="S213" s="348" t="s">
        <v>593</v>
      </c>
      <c r="T213" s="348" t="s">
        <v>594</v>
      </c>
      <c r="U213" s="348" t="s">
        <v>40</v>
      </c>
      <c r="V213" s="348" t="s">
        <v>983</v>
      </c>
      <c r="W213" s="348" t="s">
        <v>75</v>
      </c>
      <c r="X213" s="348">
        <f t="shared" si="3"/>
        <v>10</v>
      </c>
    </row>
    <row r="214" spans="1:24" ht="77.099999999999994" customHeight="1" x14ac:dyDescent="0.3">
      <c r="A214" s="348" t="s">
        <v>641</v>
      </c>
      <c r="B214" s="348" t="s">
        <v>642</v>
      </c>
      <c r="C214" s="348">
        <v>0</v>
      </c>
      <c r="D214" s="348">
        <v>0</v>
      </c>
      <c r="E214" s="348">
        <v>0</v>
      </c>
      <c r="F214" s="348">
        <v>0</v>
      </c>
      <c r="G214" s="348">
        <v>0</v>
      </c>
      <c r="H214" s="348">
        <v>1</v>
      </c>
      <c r="I214" s="348">
        <v>0</v>
      </c>
      <c r="J214" s="348">
        <v>1</v>
      </c>
      <c r="K214" s="348"/>
      <c r="L214" s="348" t="s">
        <v>591</v>
      </c>
      <c r="M214" s="348" t="s">
        <v>983</v>
      </c>
      <c r="N214" s="348" t="s">
        <v>1359</v>
      </c>
      <c r="O214" s="348" t="s">
        <v>592</v>
      </c>
      <c r="P214" s="348" t="s">
        <v>592</v>
      </c>
      <c r="Q214" s="348" t="s">
        <v>592</v>
      </c>
      <c r="R214" s="348"/>
      <c r="S214" s="348" t="s">
        <v>593</v>
      </c>
      <c r="T214" s="348" t="s">
        <v>594</v>
      </c>
      <c r="U214" s="348" t="s">
        <v>40</v>
      </c>
      <c r="V214" s="348" t="s">
        <v>983</v>
      </c>
      <c r="W214" s="348" t="s">
        <v>75</v>
      </c>
      <c r="X214" s="348">
        <f t="shared" si="3"/>
        <v>10</v>
      </c>
    </row>
    <row r="215" spans="1:24" ht="77.099999999999994" customHeight="1" x14ac:dyDescent="0.3">
      <c r="A215" s="348" t="s">
        <v>643</v>
      </c>
      <c r="B215" s="348" t="s">
        <v>635</v>
      </c>
      <c r="C215" s="348">
        <v>0</v>
      </c>
      <c r="D215" s="348">
        <v>0</v>
      </c>
      <c r="E215" s="348">
        <v>0</v>
      </c>
      <c r="F215" s="348">
        <v>0</v>
      </c>
      <c r="G215" s="348">
        <v>0</v>
      </c>
      <c r="H215" s="348">
        <v>1</v>
      </c>
      <c r="I215" s="348">
        <v>0</v>
      </c>
      <c r="J215" s="348">
        <v>1</v>
      </c>
      <c r="K215" s="348"/>
      <c r="L215" s="348" t="s">
        <v>591</v>
      </c>
      <c r="M215" s="348" t="s">
        <v>983</v>
      </c>
      <c r="N215" s="348" t="s">
        <v>1359</v>
      </c>
      <c r="O215" s="348" t="s">
        <v>592</v>
      </c>
      <c r="P215" s="348" t="s">
        <v>592</v>
      </c>
      <c r="Q215" s="348" t="s">
        <v>592</v>
      </c>
      <c r="R215" s="348"/>
      <c r="S215" s="348" t="s">
        <v>593</v>
      </c>
      <c r="T215" s="348" t="s">
        <v>594</v>
      </c>
      <c r="U215" s="348" t="s">
        <v>40</v>
      </c>
      <c r="V215" s="348" t="s">
        <v>983</v>
      </c>
      <c r="W215" s="348" t="s">
        <v>41</v>
      </c>
      <c r="X215" s="348">
        <f t="shared" si="3"/>
        <v>5</v>
      </c>
    </row>
    <row r="216" spans="1:24" ht="60.75" customHeight="1" x14ac:dyDescent="0.3">
      <c r="A216" s="360" t="s">
        <v>644</v>
      </c>
      <c r="B216" s="360" t="s">
        <v>1016</v>
      </c>
      <c r="C216" s="348">
        <v>0</v>
      </c>
      <c r="D216" s="348">
        <v>0</v>
      </c>
      <c r="E216" s="348">
        <v>0</v>
      </c>
      <c r="F216" s="348">
        <v>0</v>
      </c>
      <c r="G216" s="348">
        <v>0</v>
      </c>
      <c r="H216" s="348">
        <v>1</v>
      </c>
      <c r="I216" s="348">
        <v>0</v>
      </c>
      <c r="J216" s="348">
        <v>1</v>
      </c>
      <c r="K216" s="348"/>
      <c r="L216" s="348" t="s">
        <v>147</v>
      </c>
      <c r="M216" s="348" t="s">
        <v>983</v>
      </c>
      <c r="N216" s="348" t="s">
        <v>1361</v>
      </c>
      <c r="O216" s="348" t="s">
        <v>645</v>
      </c>
      <c r="P216" s="348" t="s">
        <v>645</v>
      </c>
      <c r="Q216" s="348" t="s">
        <v>645</v>
      </c>
      <c r="R216" s="348"/>
      <c r="S216" s="348" t="s">
        <v>646</v>
      </c>
      <c r="T216" s="348" t="s">
        <v>647</v>
      </c>
      <c r="U216" s="348" t="s">
        <v>40</v>
      </c>
      <c r="V216" s="348" t="s">
        <v>983</v>
      </c>
      <c r="W216" s="348" t="s">
        <v>46</v>
      </c>
      <c r="X216" s="348">
        <f t="shared" si="3"/>
        <v>20</v>
      </c>
    </row>
    <row r="217" spans="1:24" ht="55.2" x14ac:dyDescent="0.3">
      <c r="A217" s="360" t="s">
        <v>648</v>
      </c>
      <c r="B217" s="360" t="s">
        <v>1017</v>
      </c>
      <c r="C217" s="348">
        <v>0</v>
      </c>
      <c r="D217" s="348">
        <v>0</v>
      </c>
      <c r="E217" s="348">
        <v>0</v>
      </c>
      <c r="F217" s="348">
        <v>0</v>
      </c>
      <c r="G217" s="348">
        <v>0</v>
      </c>
      <c r="H217" s="348">
        <v>1</v>
      </c>
      <c r="I217" s="348">
        <v>0</v>
      </c>
      <c r="J217" s="348">
        <v>1</v>
      </c>
      <c r="K217" s="348"/>
      <c r="L217" s="348" t="s">
        <v>147</v>
      </c>
      <c r="M217" s="348" t="s">
        <v>983</v>
      </c>
      <c r="N217" s="348" t="s">
        <v>1361</v>
      </c>
      <c r="O217" s="348" t="s">
        <v>645</v>
      </c>
      <c r="P217" s="348" t="s">
        <v>645</v>
      </c>
      <c r="Q217" s="348" t="s">
        <v>645</v>
      </c>
      <c r="R217" s="348"/>
      <c r="S217" s="348" t="s">
        <v>646</v>
      </c>
      <c r="T217" s="348" t="s">
        <v>647</v>
      </c>
      <c r="U217" s="348" t="s">
        <v>148</v>
      </c>
      <c r="V217" s="348" t="s">
        <v>983</v>
      </c>
      <c r="W217" s="348" t="s">
        <v>46</v>
      </c>
      <c r="X217" s="348">
        <f t="shared" si="3"/>
        <v>20</v>
      </c>
    </row>
    <row r="218" spans="1:24" ht="55.2" x14ac:dyDescent="0.3">
      <c r="A218" s="360" t="s">
        <v>650</v>
      </c>
      <c r="B218" s="360" t="s">
        <v>1185</v>
      </c>
      <c r="C218" s="348">
        <v>0</v>
      </c>
      <c r="D218" s="348">
        <v>0</v>
      </c>
      <c r="E218" s="348">
        <v>0</v>
      </c>
      <c r="F218" s="348">
        <v>0</v>
      </c>
      <c r="G218" s="348">
        <v>0</v>
      </c>
      <c r="H218" s="348">
        <v>1</v>
      </c>
      <c r="I218" s="348">
        <v>0</v>
      </c>
      <c r="J218" s="348">
        <v>1</v>
      </c>
      <c r="K218" s="348"/>
      <c r="L218" s="348" t="s">
        <v>147</v>
      </c>
      <c r="M218" s="348" t="s">
        <v>983</v>
      </c>
      <c r="N218" s="348" t="s">
        <v>1361</v>
      </c>
      <c r="O218" s="348" t="s">
        <v>645</v>
      </c>
      <c r="P218" s="348" t="s">
        <v>645</v>
      </c>
      <c r="Q218" s="348" t="s">
        <v>645</v>
      </c>
      <c r="R218" s="348"/>
      <c r="S218" s="348" t="s">
        <v>646</v>
      </c>
      <c r="T218" s="348" t="s">
        <v>647</v>
      </c>
      <c r="U218" s="348" t="s">
        <v>148</v>
      </c>
      <c r="V218" s="348" t="s">
        <v>983</v>
      </c>
      <c r="W218" s="348" t="s">
        <v>46</v>
      </c>
      <c r="X218" s="348">
        <f t="shared" si="3"/>
        <v>20</v>
      </c>
    </row>
    <row r="219" spans="1:24" ht="55.2" x14ac:dyDescent="0.3">
      <c r="A219" s="348" t="s">
        <v>651</v>
      </c>
      <c r="B219" s="348" t="s">
        <v>1186</v>
      </c>
      <c r="C219" s="348">
        <v>0</v>
      </c>
      <c r="D219" s="348">
        <v>0</v>
      </c>
      <c r="E219" s="348">
        <v>0</v>
      </c>
      <c r="F219" s="348">
        <v>0</v>
      </c>
      <c r="G219" s="348">
        <v>0</v>
      </c>
      <c r="H219" s="348">
        <v>1</v>
      </c>
      <c r="I219" s="348">
        <v>0</v>
      </c>
      <c r="J219" s="348">
        <v>1</v>
      </c>
      <c r="K219" s="348"/>
      <c r="L219" s="348" t="s">
        <v>147</v>
      </c>
      <c r="M219" s="348" t="s">
        <v>983</v>
      </c>
      <c r="N219" s="348" t="s">
        <v>1361</v>
      </c>
      <c r="O219" s="348" t="s">
        <v>645</v>
      </c>
      <c r="P219" s="348" t="s">
        <v>645</v>
      </c>
      <c r="Q219" s="348" t="s">
        <v>645</v>
      </c>
      <c r="R219" s="348"/>
      <c r="S219" s="348" t="s">
        <v>646</v>
      </c>
      <c r="T219" s="348" t="s">
        <v>647</v>
      </c>
      <c r="U219" s="348" t="s">
        <v>40</v>
      </c>
      <c r="V219" s="348" t="s">
        <v>983</v>
      </c>
      <c r="W219" s="348" t="s">
        <v>75</v>
      </c>
      <c r="X219" s="348">
        <f t="shared" si="3"/>
        <v>10</v>
      </c>
    </row>
    <row r="220" spans="1:24" ht="55.2" x14ac:dyDescent="0.3">
      <c r="A220" s="348" t="s">
        <v>653</v>
      </c>
      <c r="B220" s="348" t="s">
        <v>649</v>
      </c>
      <c r="C220" s="348">
        <v>0</v>
      </c>
      <c r="D220" s="348">
        <v>0</v>
      </c>
      <c r="E220" s="348">
        <v>0</v>
      </c>
      <c r="F220" s="348">
        <v>0</v>
      </c>
      <c r="G220" s="348">
        <v>0</v>
      </c>
      <c r="H220" s="348">
        <v>1</v>
      </c>
      <c r="I220" s="348">
        <v>0</v>
      </c>
      <c r="J220" s="348">
        <v>1</v>
      </c>
      <c r="K220" s="348"/>
      <c r="L220" s="348" t="s">
        <v>147</v>
      </c>
      <c r="M220" s="348" t="s">
        <v>983</v>
      </c>
      <c r="N220" s="348" t="s">
        <v>1361</v>
      </c>
      <c r="O220" s="348" t="s">
        <v>645</v>
      </c>
      <c r="P220" s="348" t="s">
        <v>645</v>
      </c>
      <c r="Q220" s="348" t="s">
        <v>645</v>
      </c>
      <c r="R220" s="348"/>
      <c r="S220" s="348" t="s">
        <v>646</v>
      </c>
      <c r="T220" s="348" t="s">
        <v>647</v>
      </c>
      <c r="U220" s="348" t="s">
        <v>40</v>
      </c>
      <c r="V220" s="348" t="s">
        <v>983</v>
      </c>
      <c r="W220" s="348" t="s">
        <v>75</v>
      </c>
      <c r="X220" s="348">
        <f t="shared" si="3"/>
        <v>10</v>
      </c>
    </row>
    <row r="221" spans="1:24" ht="55.2" x14ac:dyDescent="0.3">
      <c r="A221" s="348" t="s">
        <v>654</v>
      </c>
      <c r="B221" s="348" t="s">
        <v>652</v>
      </c>
      <c r="C221" s="348">
        <v>0</v>
      </c>
      <c r="D221" s="348">
        <v>0</v>
      </c>
      <c r="E221" s="348">
        <v>0</v>
      </c>
      <c r="F221" s="348">
        <v>0</v>
      </c>
      <c r="G221" s="348">
        <v>0</v>
      </c>
      <c r="H221" s="348">
        <v>1</v>
      </c>
      <c r="I221" s="348">
        <v>0</v>
      </c>
      <c r="J221" s="348">
        <v>1</v>
      </c>
      <c r="K221" s="348"/>
      <c r="L221" s="348" t="s">
        <v>147</v>
      </c>
      <c r="M221" s="348" t="s">
        <v>983</v>
      </c>
      <c r="N221" s="348" t="s">
        <v>1361</v>
      </c>
      <c r="O221" s="348" t="s">
        <v>645</v>
      </c>
      <c r="P221" s="348" t="s">
        <v>645</v>
      </c>
      <c r="Q221" s="348" t="s">
        <v>645</v>
      </c>
      <c r="R221" s="348"/>
      <c r="S221" s="348" t="s">
        <v>646</v>
      </c>
      <c r="T221" s="348" t="s">
        <v>647</v>
      </c>
      <c r="U221" s="348" t="s">
        <v>40</v>
      </c>
      <c r="V221" s="348" t="s">
        <v>983</v>
      </c>
      <c r="W221" s="348" t="s">
        <v>75</v>
      </c>
      <c r="X221" s="348">
        <f t="shared" si="3"/>
        <v>10</v>
      </c>
    </row>
    <row r="222" spans="1:24" ht="55.2" x14ac:dyDescent="0.3">
      <c r="A222" s="348" t="s">
        <v>656</v>
      </c>
      <c r="B222" s="348" t="s">
        <v>1433</v>
      </c>
      <c r="C222" s="348">
        <v>0</v>
      </c>
      <c r="D222" s="348">
        <v>0</v>
      </c>
      <c r="E222" s="348">
        <v>0</v>
      </c>
      <c r="F222" s="348">
        <v>0</v>
      </c>
      <c r="G222" s="348">
        <v>0</v>
      </c>
      <c r="H222" s="348">
        <v>1</v>
      </c>
      <c r="I222" s="348">
        <v>0</v>
      </c>
      <c r="J222" s="348">
        <v>1</v>
      </c>
      <c r="K222" s="348"/>
      <c r="L222" s="348" t="s">
        <v>147</v>
      </c>
      <c r="M222" s="348" t="s">
        <v>983</v>
      </c>
      <c r="N222" s="348" t="s">
        <v>1361</v>
      </c>
      <c r="O222" s="348" t="s">
        <v>645</v>
      </c>
      <c r="P222" s="348" t="s">
        <v>645</v>
      </c>
      <c r="Q222" s="348" t="s">
        <v>645</v>
      </c>
      <c r="R222" s="348"/>
      <c r="S222" s="348" t="s">
        <v>646</v>
      </c>
      <c r="T222" s="348" t="s">
        <v>647</v>
      </c>
      <c r="U222" s="348" t="s">
        <v>40</v>
      </c>
      <c r="V222" s="348" t="s">
        <v>983</v>
      </c>
      <c r="W222" s="348" t="s">
        <v>75</v>
      </c>
      <c r="X222" s="348">
        <f t="shared" si="3"/>
        <v>10</v>
      </c>
    </row>
    <row r="223" spans="1:24" ht="55.2" x14ac:dyDescent="0.3">
      <c r="A223" s="348" t="s">
        <v>658</v>
      </c>
      <c r="B223" s="348" t="s">
        <v>655</v>
      </c>
      <c r="C223" s="348">
        <v>0</v>
      </c>
      <c r="D223" s="348">
        <v>0</v>
      </c>
      <c r="E223" s="348">
        <v>0</v>
      </c>
      <c r="F223" s="348">
        <v>0</v>
      </c>
      <c r="G223" s="348">
        <v>0</v>
      </c>
      <c r="H223" s="348">
        <v>1</v>
      </c>
      <c r="I223" s="348">
        <v>0</v>
      </c>
      <c r="J223" s="348">
        <v>1</v>
      </c>
      <c r="K223" s="348"/>
      <c r="L223" s="348" t="s">
        <v>147</v>
      </c>
      <c r="M223" s="348" t="s">
        <v>983</v>
      </c>
      <c r="N223" s="348" t="s">
        <v>1361</v>
      </c>
      <c r="O223" s="348" t="s">
        <v>645</v>
      </c>
      <c r="P223" s="348" t="s">
        <v>645</v>
      </c>
      <c r="Q223" s="348" t="s">
        <v>645</v>
      </c>
      <c r="R223" s="348"/>
      <c r="S223" s="348" t="s">
        <v>646</v>
      </c>
      <c r="T223" s="348" t="s">
        <v>647</v>
      </c>
      <c r="U223" s="348" t="s">
        <v>40</v>
      </c>
      <c r="V223" s="348" t="s">
        <v>983</v>
      </c>
      <c r="W223" s="348" t="s">
        <v>75</v>
      </c>
      <c r="X223" s="348">
        <f t="shared" si="3"/>
        <v>10</v>
      </c>
    </row>
    <row r="224" spans="1:24" ht="55.2" x14ac:dyDescent="0.3">
      <c r="A224" s="348" t="s">
        <v>660</v>
      </c>
      <c r="B224" s="348" t="s">
        <v>657</v>
      </c>
      <c r="C224" s="348">
        <v>0</v>
      </c>
      <c r="D224" s="348">
        <v>0</v>
      </c>
      <c r="E224" s="348">
        <v>0</v>
      </c>
      <c r="F224" s="348">
        <v>0</v>
      </c>
      <c r="G224" s="348">
        <v>0</v>
      </c>
      <c r="H224" s="348">
        <v>1</v>
      </c>
      <c r="I224" s="348">
        <v>0</v>
      </c>
      <c r="J224" s="348">
        <v>1</v>
      </c>
      <c r="K224" s="348"/>
      <c r="L224" s="348" t="s">
        <v>1004</v>
      </c>
      <c r="M224" s="348" t="s">
        <v>983</v>
      </c>
      <c r="N224" s="348" t="s">
        <v>1361</v>
      </c>
      <c r="O224" s="348" t="s">
        <v>645</v>
      </c>
      <c r="P224" s="348" t="s">
        <v>645</v>
      </c>
      <c r="Q224" s="348" t="s">
        <v>645</v>
      </c>
      <c r="R224" s="348"/>
      <c r="S224" s="348" t="s">
        <v>646</v>
      </c>
      <c r="T224" s="348" t="s">
        <v>647</v>
      </c>
      <c r="U224" s="348" t="s">
        <v>1004</v>
      </c>
      <c r="V224" s="348" t="s">
        <v>983</v>
      </c>
      <c r="W224" s="348"/>
      <c r="X224" s="348"/>
    </row>
    <row r="225" spans="1:24" ht="55.2" x14ac:dyDescent="0.3">
      <c r="A225" s="348" t="s">
        <v>661</v>
      </c>
      <c r="B225" s="348" t="s">
        <v>659</v>
      </c>
      <c r="C225" s="348">
        <v>0</v>
      </c>
      <c r="D225" s="348">
        <v>0</v>
      </c>
      <c r="E225" s="348">
        <v>0</v>
      </c>
      <c r="F225" s="348">
        <v>0</v>
      </c>
      <c r="G225" s="348">
        <v>0</v>
      </c>
      <c r="H225" s="348">
        <v>1</v>
      </c>
      <c r="I225" s="348">
        <v>0</v>
      </c>
      <c r="J225" s="348">
        <v>1</v>
      </c>
      <c r="K225" s="348"/>
      <c r="L225" s="348" t="s">
        <v>1004</v>
      </c>
      <c r="M225" s="348" t="s">
        <v>983</v>
      </c>
      <c r="N225" s="348" t="s">
        <v>1361</v>
      </c>
      <c r="O225" s="348" t="s">
        <v>645</v>
      </c>
      <c r="P225" s="348" t="s">
        <v>645</v>
      </c>
      <c r="Q225" s="348" t="s">
        <v>645</v>
      </c>
      <c r="R225" s="348"/>
      <c r="S225" s="348" t="s">
        <v>646</v>
      </c>
      <c r="T225" s="348" t="s">
        <v>647</v>
      </c>
      <c r="U225" s="348" t="s">
        <v>1004</v>
      </c>
      <c r="V225" s="348" t="s">
        <v>983</v>
      </c>
      <c r="W225" s="348"/>
      <c r="X225" s="348"/>
    </row>
    <row r="226" spans="1:24" ht="55.2" x14ac:dyDescent="0.3">
      <c r="A226" s="348" t="s">
        <v>662</v>
      </c>
      <c r="B226" s="348" t="s">
        <v>1029</v>
      </c>
      <c r="C226" s="348">
        <v>0</v>
      </c>
      <c r="D226" s="348">
        <v>0</v>
      </c>
      <c r="E226" s="348">
        <v>0</v>
      </c>
      <c r="F226" s="348">
        <v>0</v>
      </c>
      <c r="G226" s="348">
        <v>0</v>
      </c>
      <c r="H226" s="348">
        <v>1</v>
      </c>
      <c r="I226" s="348">
        <v>0</v>
      </c>
      <c r="J226" s="348">
        <v>1</v>
      </c>
      <c r="K226" s="348"/>
      <c r="L226" s="348" t="s">
        <v>147</v>
      </c>
      <c r="M226" s="348" t="s">
        <v>983</v>
      </c>
      <c r="N226" s="348" t="s">
        <v>1361</v>
      </c>
      <c r="O226" s="348" t="s">
        <v>645</v>
      </c>
      <c r="P226" s="348" t="s">
        <v>645</v>
      </c>
      <c r="Q226" s="348" t="s">
        <v>645</v>
      </c>
      <c r="R226" s="348"/>
      <c r="S226" s="348" t="s">
        <v>646</v>
      </c>
      <c r="T226" s="348" t="s">
        <v>647</v>
      </c>
      <c r="U226" s="348" t="s">
        <v>40</v>
      </c>
      <c r="V226" s="348" t="s">
        <v>983</v>
      </c>
      <c r="W226" s="348" t="s">
        <v>41</v>
      </c>
      <c r="X226" s="348">
        <f t="shared" si="3"/>
        <v>5</v>
      </c>
    </row>
    <row r="227" spans="1:24" ht="69" x14ac:dyDescent="0.3">
      <c r="A227" s="348" t="s">
        <v>663</v>
      </c>
      <c r="B227" s="348" t="s">
        <v>1119</v>
      </c>
      <c r="C227" s="348">
        <v>0</v>
      </c>
      <c r="D227" s="348">
        <v>0</v>
      </c>
      <c r="E227" s="348">
        <v>0</v>
      </c>
      <c r="F227" s="348">
        <v>0</v>
      </c>
      <c r="G227" s="348">
        <v>0</v>
      </c>
      <c r="H227" s="348">
        <v>1</v>
      </c>
      <c r="I227" s="348">
        <v>0</v>
      </c>
      <c r="J227" s="348">
        <v>1</v>
      </c>
      <c r="K227" s="348"/>
      <c r="L227" s="348" t="s">
        <v>1004</v>
      </c>
      <c r="M227" s="348" t="s">
        <v>983</v>
      </c>
      <c r="N227" s="348" t="s">
        <v>1361</v>
      </c>
      <c r="O227" s="348" t="s">
        <v>645</v>
      </c>
      <c r="P227" s="348" t="s">
        <v>645</v>
      </c>
      <c r="Q227" s="348" t="s">
        <v>645</v>
      </c>
      <c r="R227" s="348"/>
      <c r="S227" s="348" t="s">
        <v>646</v>
      </c>
      <c r="T227" s="348" t="s">
        <v>647</v>
      </c>
      <c r="U227" s="348" t="s">
        <v>1004</v>
      </c>
      <c r="V227" s="348" t="s">
        <v>983</v>
      </c>
      <c r="W227" s="348"/>
      <c r="X227" s="348"/>
    </row>
    <row r="228" spans="1:24" ht="235.5" customHeight="1" x14ac:dyDescent="0.3">
      <c r="A228" s="225" t="s">
        <v>664</v>
      </c>
      <c r="B228" s="348" t="s">
        <v>671</v>
      </c>
      <c r="C228" s="348">
        <v>0</v>
      </c>
      <c r="D228" s="348">
        <v>0</v>
      </c>
      <c r="E228" s="348">
        <v>0</v>
      </c>
      <c r="F228" s="348">
        <v>0</v>
      </c>
      <c r="G228" s="348">
        <v>0</v>
      </c>
      <c r="H228" s="348">
        <v>1</v>
      </c>
      <c r="I228" s="348">
        <v>0</v>
      </c>
      <c r="J228" s="348">
        <v>0</v>
      </c>
      <c r="K228" s="348"/>
      <c r="L228" s="348" t="s">
        <v>147</v>
      </c>
      <c r="M228" s="348" t="s">
        <v>975</v>
      </c>
      <c r="N228" s="348" t="s">
        <v>1362</v>
      </c>
      <c r="O228" s="348" t="s">
        <v>975</v>
      </c>
      <c r="P228" s="348" t="s">
        <v>672</v>
      </c>
      <c r="Q228" s="348" t="s">
        <v>673</v>
      </c>
      <c r="R228" s="348"/>
      <c r="S228" s="348" t="s">
        <v>1210</v>
      </c>
      <c r="T228" s="348" t="s">
        <v>1363</v>
      </c>
      <c r="U228" s="348" t="s">
        <v>40</v>
      </c>
      <c r="V228" s="348" t="s">
        <v>975</v>
      </c>
      <c r="W228" s="348" t="s">
        <v>75</v>
      </c>
      <c r="X228" s="348">
        <f t="shared" si="3"/>
        <v>10</v>
      </c>
    </row>
    <row r="229" spans="1:24" ht="231" customHeight="1" x14ac:dyDescent="0.3">
      <c r="A229" s="225" t="s">
        <v>666</v>
      </c>
      <c r="B229" s="348" t="s">
        <v>675</v>
      </c>
      <c r="C229" s="348">
        <v>0</v>
      </c>
      <c r="D229" s="348">
        <v>0</v>
      </c>
      <c r="E229" s="348">
        <v>0</v>
      </c>
      <c r="F229" s="348">
        <v>0</v>
      </c>
      <c r="G229" s="348">
        <v>0</v>
      </c>
      <c r="H229" s="348">
        <v>1</v>
      </c>
      <c r="I229" s="348">
        <v>0</v>
      </c>
      <c r="J229" s="348">
        <v>0</v>
      </c>
      <c r="K229" s="348"/>
      <c r="L229" s="348" t="s">
        <v>147</v>
      </c>
      <c r="M229" s="348" t="s">
        <v>975</v>
      </c>
      <c r="N229" s="348" t="s">
        <v>1362</v>
      </c>
      <c r="O229" s="348" t="s">
        <v>975</v>
      </c>
      <c r="P229" s="348" t="s">
        <v>975</v>
      </c>
      <c r="Q229" s="348" t="s">
        <v>676</v>
      </c>
      <c r="R229" s="348"/>
      <c r="S229" s="348" t="s">
        <v>1398</v>
      </c>
      <c r="T229" s="348" t="s">
        <v>1364</v>
      </c>
      <c r="U229" s="348" t="s">
        <v>148</v>
      </c>
      <c r="V229" s="348" t="s">
        <v>975</v>
      </c>
      <c r="W229" s="348" t="s">
        <v>75</v>
      </c>
      <c r="X229" s="348">
        <f t="shared" si="3"/>
        <v>10</v>
      </c>
    </row>
    <row r="230" spans="1:24" ht="193.2" x14ac:dyDescent="0.3">
      <c r="A230" s="225" t="s">
        <v>670</v>
      </c>
      <c r="B230" s="348" t="s">
        <v>678</v>
      </c>
      <c r="C230" s="348">
        <v>0</v>
      </c>
      <c r="D230" s="348">
        <v>0</v>
      </c>
      <c r="E230" s="348">
        <v>0</v>
      </c>
      <c r="F230" s="348">
        <v>0</v>
      </c>
      <c r="G230" s="348">
        <v>0</v>
      </c>
      <c r="H230" s="348">
        <v>1</v>
      </c>
      <c r="I230" s="348">
        <v>0</v>
      </c>
      <c r="J230" s="348">
        <v>0</v>
      </c>
      <c r="K230" s="348"/>
      <c r="L230" s="348" t="s">
        <v>147</v>
      </c>
      <c r="M230" s="348" t="s">
        <v>975</v>
      </c>
      <c r="N230" s="348" t="s">
        <v>1362</v>
      </c>
      <c r="O230" s="348" t="s">
        <v>975</v>
      </c>
      <c r="P230" s="348" t="s">
        <v>679</v>
      </c>
      <c r="Q230" s="348" t="s">
        <v>680</v>
      </c>
      <c r="R230" s="348"/>
      <c r="S230" s="348" t="s">
        <v>1187</v>
      </c>
      <c r="T230" s="348" t="s">
        <v>1365</v>
      </c>
      <c r="U230" s="348" t="s">
        <v>40</v>
      </c>
      <c r="V230" s="348" t="s">
        <v>975</v>
      </c>
      <c r="W230" s="348" t="s">
        <v>75</v>
      </c>
      <c r="X230" s="348">
        <f t="shared" si="3"/>
        <v>10</v>
      </c>
    </row>
    <row r="231" spans="1:24" ht="228.75" customHeight="1" x14ac:dyDescent="0.3">
      <c r="A231" s="225" t="s">
        <v>674</v>
      </c>
      <c r="B231" s="348" t="s">
        <v>682</v>
      </c>
      <c r="C231" s="348">
        <v>0</v>
      </c>
      <c r="D231" s="348">
        <v>0</v>
      </c>
      <c r="E231" s="348">
        <v>0</v>
      </c>
      <c r="F231" s="348">
        <v>0</v>
      </c>
      <c r="G231" s="348">
        <v>0</v>
      </c>
      <c r="H231" s="348">
        <v>1</v>
      </c>
      <c r="I231" s="348">
        <v>0</v>
      </c>
      <c r="J231" s="348">
        <v>0</v>
      </c>
      <c r="K231" s="348"/>
      <c r="L231" s="348" t="s">
        <v>147</v>
      </c>
      <c r="M231" s="348" t="s">
        <v>975</v>
      </c>
      <c r="N231" s="348" t="s">
        <v>1362</v>
      </c>
      <c r="O231" s="348" t="s">
        <v>975</v>
      </c>
      <c r="P231" s="348" t="s">
        <v>975</v>
      </c>
      <c r="Q231" s="348" t="s">
        <v>676</v>
      </c>
      <c r="R231" s="348"/>
      <c r="S231" s="348" t="s">
        <v>1399</v>
      </c>
      <c r="T231" s="348" t="s">
        <v>1364</v>
      </c>
      <c r="U231" s="348" t="s">
        <v>148</v>
      </c>
      <c r="V231" s="348" t="s">
        <v>975</v>
      </c>
      <c r="W231" s="348" t="s">
        <v>75</v>
      </c>
      <c r="X231" s="348">
        <f t="shared" si="3"/>
        <v>10</v>
      </c>
    </row>
    <row r="232" spans="1:24" ht="214.5" customHeight="1" x14ac:dyDescent="0.3">
      <c r="A232" s="225" t="s">
        <v>677</v>
      </c>
      <c r="B232" s="348" t="s">
        <v>1530</v>
      </c>
      <c r="C232" s="348">
        <v>0</v>
      </c>
      <c r="D232" s="348">
        <v>0</v>
      </c>
      <c r="E232" s="348">
        <v>0</v>
      </c>
      <c r="F232" s="348">
        <v>0</v>
      </c>
      <c r="G232" s="348">
        <v>0</v>
      </c>
      <c r="H232" s="348">
        <v>1</v>
      </c>
      <c r="I232" s="348">
        <v>0</v>
      </c>
      <c r="J232" s="348">
        <v>0</v>
      </c>
      <c r="K232" s="348"/>
      <c r="L232" s="348" t="s">
        <v>147</v>
      </c>
      <c r="M232" s="348" t="s">
        <v>975</v>
      </c>
      <c r="N232" s="348" t="s">
        <v>1362</v>
      </c>
      <c r="O232" s="348" t="s">
        <v>975</v>
      </c>
      <c r="P232" s="348" t="s">
        <v>975</v>
      </c>
      <c r="Q232" s="348" t="s">
        <v>684</v>
      </c>
      <c r="R232" s="348" t="s">
        <v>1528</v>
      </c>
      <c r="S232" s="348" t="s">
        <v>685</v>
      </c>
      <c r="T232" s="348" t="s">
        <v>1366</v>
      </c>
      <c r="U232" s="348" t="s">
        <v>40</v>
      </c>
      <c r="V232" s="348" t="s">
        <v>975</v>
      </c>
      <c r="W232" s="348" t="s">
        <v>75</v>
      </c>
      <c r="X232" s="348">
        <f t="shared" si="3"/>
        <v>10</v>
      </c>
    </row>
    <row r="233" spans="1:24" ht="90" customHeight="1" x14ac:dyDescent="0.3">
      <c r="A233" s="225" t="s">
        <v>681</v>
      </c>
      <c r="B233" s="348" t="s">
        <v>1120</v>
      </c>
      <c r="C233" s="348">
        <v>0</v>
      </c>
      <c r="D233" s="348">
        <v>0</v>
      </c>
      <c r="E233" s="348">
        <v>0</v>
      </c>
      <c r="F233" s="348">
        <v>0</v>
      </c>
      <c r="G233" s="348">
        <v>0</v>
      </c>
      <c r="H233" s="348">
        <v>1</v>
      </c>
      <c r="I233" s="348">
        <v>0</v>
      </c>
      <c r="J233" s="348">
        <v>0</v>
      </c>
      <c r="K233" s="348"/>
      <c r="L233" s="348" t="s">
        <v>147</v>
      </c>
      <c r="M233" s="348" t="s">
        <v>975</v>
      </c>
      <c r="N233" s="348" t="s">
        <v>1362</v>
      </c>
      <c r="O233" s="348" t="s">
        <v>975</v>
      </c>
      <c r="P233" s="348" t="s">
        <v>399</v>
      </c>
      <c r="Q233" s="348" t="s">
        <v>400</v>
      </c>
      <c r="R233" s="348" t="s">
        <v>1528</v>
      </c>
      <c r="S233" s="348" t="s">
        <v>1434</v>
      </c>
      <c r="T233" s="348" t="s">
        <v>401</v>
      </c>
      <c r="U233" s="348" t="s">
        <v>40</v>
      </c>
      <c r="V233" s="348" t="s">
        <v>975</v>
      </c>
      <c r="W233" s="348" t="s">
        <v>75</v>
      </c>
      <c r="X233" s="348">
        <f t="shared" si="3"/>
        <v>10</v>
      </c>
    </row>
    <row r="234" spans="1:24" ht="138" x14ac:dyDescent="0.3">
      <c r="A234" s="225" t="s">
        <v>683</v>
      </c>
      <c r="B234" s="348" t="s">
        <v>688</v>
      </c>
      <c r="C234" s="348">
        <v>0</v>
      </c>
      <c r="D234" s="348">
        <v>0</v>
      </c>
      <c r="E234" s="348">
        <v>0</v>
      </c>
      <c r="F234" s="348">
        <v>0</v>
      </c>
      <c r="G234" s="348">
        <v>0</v>
      </c>
      <c r="H234" s="348">
        <v>1</v>
      </c>
      <c r="I234" s="348">
        <v>0</v>
      </c>
      <c r="J234" s="348">
        <v>0</v>
      </c>
      <c r="K234" s="348"/>
      <c r="L234" s="348" t="s">
        <v>147</v>
      </c>
      <c r="M234" s="348" t="s">
        <v>975</v>
      </c>
      <c r="N234" s="348" t="s">
        <v>1362</v>
      </c>
      <c r="O234" s="348" t="s">
        <v>975</v>
      </c>
      <c r="P234" s="348" t="s">
        <v>689</v>
      </c>
      <c r="Q234" s="348" t="s">
        <v>690</v>
      </c>
      <c r="R234" s="348"/>
      <c r="S234" s="348" t="s">
        <v>1367</v>
      </c>
      <c r="T234" s="348" t="s">
        <v>691</v>
      </c>
      <c r="U234" s="348" t="s">
        <v>40</v>
      </c>
      <c r="V234" s="348" t="s">
        <v>975</v>
      </c>
      <c r="W234" s="348" t="s">
        <v>75</v>
      </c>
      <c r="X234" s="348">
        <f t="shared" si="3"/>
        <v>10</v>
      </c>
    </row>
    <row r="235" spans="1:24" ht="124.2" x14ac:dyDescent="0.3">
      <c r="A235" s="225" t="s">
        <v>686</v>
      </c>
      <c r="B235" s="348" t="s">
        <v>693</v>
      </c>
      <c r="C235" s="348">
        <v>0</v>
      </c>
      <c r="D235" s="348">
        <v>0</v>
      </c>
      <c r="E235" s="348">
        <v>0</v>
      </c>
      <c r="F235" s="348">
        <v>0</v>
      </c>
      <c r="G235" s="348">
        <v>0</v>
      </c>
      <c r="H235" s="348">
        <v>1</v>
      </c>
      <c r="I235" s="348">
        <v>0</v>
      </c>
      <c r="J235" s="348">
        <v>0</v>
      </c>
      <c r="K235" s="348"/>
      <c r="L235" s="348" t="s">
        <v>1004</v>
      </c>
      <c r="M235" s="348" t="s">
        <v>975</v>
      </c>
      <c r="N235" s="348" t="s">
        <v>1362</v>
      </c>
      <c r="O235" s="348" t="s">
        <v>694</v>
      </c>
      <c r="P235" s="348" t="s">
        <v>694</v>
      </c>
      <c r="Q235" s="348" t="s">
        <v>694</v>
      </c>
      <c r="R235" s="348"/>
      <c r="S235" s="348" t="s">
        <v>1368</v>
      </c>
      <c r="T235" s="348" t="s">
        <v>695</v>
      </c>
      <c r="U235" s="348" t="s">
        <v>1004</v>
      </c>
      <c r="V235" s="348" t="s">
        <v>975</v>
      </c>
      <c r="W235" s="348"/>
      <c r="X235" s="348"/>
    </row>
    <row r="236" spans="1:24" ht="151.80000000000001" x14ac:dyDescent="0.3">
      <c r="A236" s="225" t="s">
        <v>687</v>
      </c>
      <c r="B236" s="348" t="s">
        <v>1216</v>
      </c>
      <c r="C236" s="348">
        <v>0</v>
      </c>
      <c r="D236" s="348">
        <v>0</v>
      </c>
      <c r="E236" s="348">
        <v>0</v>
      </c>
      <c r="F236" s="348">
        <v>0</v>
      </c>
      <c r="G236" s="348">
        <v>0</v>
      </c>
      <c r="H236" s="348">
        <v>1</v>
      </c>
      <c r="I236" s="348">
        <v>0</v>
      </c>
      <c r="J236" s="348">
        <v>0</v>
      </c>
      <c r="K236" s="348"/>
      <c r="L236" s="348" t="s">
        <v>1004</v>
      </c>
      <c r="M236" s="348" t="s">
        <v>975</v>
      </c>
      <c r="N236" s="348" t="s">
        <v>1362</v>
      </c>
      <c r="O236" s="348" t="s">
        <v>665</v>
      </c>
      <c r="P236" s="348" t="s">
        <v>665</v>
      </c>
      <c r="Q236" s="348" t="s">
        <v>665</v>
      </c>
      <c r="R236" s="348"/>
      <c r="S236" s="348" t="s">
        <v>1369</v>
      </c>
      <c r="T236" s="348" t="s">
        <v>1370</v>
      </c>
      <c r="U236" s="348" t="s">
        <v>1004</v>
      </c>
      <c r="V236" s="348" t="s">
        <v>975</v>
      </c>
      <c r="W236" s="348"/>
      <c r="X236" s="348"/>
    </row>
    <row r="237" spans="1:24" ht="179.4" x14ac:dyDescent="0.3">
      <c r="A237" s="225" t="s">
        <v>692</v>
      </c>
      <c r="B237" s="348" t="s">
        <v>667</v>
      </c>
      <c r="C237" s="348">
        <v>0</v>
      </c>
      <c r="D237" s="348">
        <v>0</v>
      </c>
      <c r="E237" s="348">
        <v>0</v>
      </c>
      <c r="F237" s="348">
        <v>0</v>
      </c>
      <c r="G237" s="348">
        <v>0</v>
      </c>
      <c r="H237" s="348">
        <v>1</v>
      </c>
      <c r="I237" s="348">
        <v>0</v>
      </c>
      <c r="J237" s="348">
        <v>0</v>
      </c>
      <c r="K237" s="348"/>
      <c r="L237" s="348" t="s">
        <v>147</v>
      </c>
      <c r="M237" s="348" t="s">
        <v>975</v>
      </c>
      <c r="N237" s="348" t="s">
        <v>1362</v>
      </c>
      <c r="O237" s="348" t="s">
        <v>975</v>
      </c>
      <c r="P237" s="348" t="s">
        <v>668</v>
      </c>
      <c r="Q237" s="348" t="s">
        <v>669</v>
      </c>
      <c r="R237" s="348"/>
      <c r="S237" s="348" t="s">
        <v>1371</v>
      </c>
      <c r="T237" s="348" t="s">
        <v>1211</v>
      </c>
      <c r="U237" s="348" t="s">
        <v>40</v>
      </c>
      <c r="V237" s="348" t="s">
        <v>975</v>
      </c>
      <c r="W237" s="348" t="s">
        <v>41</v>
      </c>
      <c r="X237" s="348">
        <f t="shared" si="3"/>
        <v>5</v>
      </c>
    </row>
    <row r="238" spans="1:24" ht="82.8" x14ac:dyDescent="0.3">
      <c r="A238" s="349" t="s">
        <v>857</v>
      </c>
      <c r="B238" s="349" t="s">
        <v>1188</v>
      </c>
      <c r="C238" s="350">
        <v>0</v>
      </c>
      <c r="D238" s="350">
        <v>0</v>
      </c>
      <c r="E238" s="350">
        <v>0</v>
      </c>
      <c r="F238" s="350">
        <v>0</v>
      </c>
      <c r="G238" s="350">
        <v>0</v>
      </c>
      <c r="H238" s="350">
        <v>0</v>
      </c>
      <c r="I238" s="350">
        <v>0</v>
      </c>
      <c r="J238" s="350">
        <v>1</v>
      </c>
      <c r="K238" s="349" t="s">
        <v>22</v>
      </c>
      <c r="L238" s="349" t="s">
        <v>1004</v>
      </c>
      <c r="M238" s="351"/>
      <c r="N238" s="351"/>
      <c r="O238" s="349" t="s">
        <v>1546</v>
      </c>
      <c r="P238" s="349" t="s">
        <v>1546</v>
      </c>
      <c r="Q238" s="349" t="s">
        <v>1547</v>
      </c>
      <c r="R238" s="351"/>
      <c r="S238" s="349" t="s">
        <v>1548</v>
      </c>
      <c r="T238" s="349" t="s">
        <v>1549</v>
      </c>
      <c r="U238" s="349" t="s">
        <v>1004</v>
      </c>
      <c r="V238" s="351"/>
      <c r="W238" s="351"/>
      <c r="X238" s="350"/>
    </row>
    <row r="239" spans="1:24" ht="165.6" x14ac:dyDescent="0.3">
      <c r="A239" s="349" t="s">
        <v>858</v>
      </c>
      <c r="B239" s="349" t="s">
        <v>1189</v>
      </c>
      <c r="C239" s="350">
        <v>0</v>
      </c>
      <c r="D239" s="350">
        <v>0</v>
      </c>
      <c r="E239" s="350">
        <v>0</v>
      </c>
      <c r="F239" s="350">
        <v>0</v>
      </c>
      <c r="G239" s="350">
        <v>0</v>
      </c>
      <c r="H239" s="350">
        <v>0</v>
      </c>
      <c r="I239" s="350">
        <v>0</v>
      </c>
      <c r="J239" s="350">
        <v>1</v>
      </c>
      <c r="K239" s="349" t="s">
        <v>22</v>
      </c>
      <c r="L239" s="349" t="s">
        <v>1004</v>
      </c>
      <c r="M239" s="351"/>
      <c r="N239" s="351"/>
      <c r="O239" s="349" t="s">
        <v>1550</v>
      </c>
      <c r="P239" s="349" t="s">
        <v>1550</v>
      </c>
      <c r="Q239" s="349" t="s">
        <v>1551</v>
      </c>
      <c r="R239" s="351"/>
      <c r="S239" s="349" t="s">
        <v>1548</v>
      </c>
      <c r="T239" s="351"/>
      <c r="U239" s="349" t="s">
        <v>1004</v>
      </c>
      <c r="V239" s="351"/>
      <c r="W239" s="351"/>
      <c r="X239" s="350"/>
    </row>
    <row r="240" spans="1:24" ht="69" x14ac:dyDescent="0.3">
      <c r="A240" s="349" t="s">
        <v>859</v>
      </c>
      <c r="B240" s="349" t="s">
        <v>1190</v>
      </c>
      <c r="C240" s="350">
        <v>0</v>
      </c>
      <c r="D240" s="350">
        <v>0</v>
      </c>
      <c r="E240" s="350">
        <v>0</v>
      </c>
      <c r="F240" s="350">
        <v>0</v>
      </c>
      <c r="G240" s="350">
        <v>0</v>
      </c>
      <c r="H240" s="350">
        <v>0</v>
      </c>
      <c r="I240" s="350">
        <v>0</v>
      </c>
      <c r="J240" s="350">
        <v>1</v>
      </c>
      <c r="K240" s="349" t="s">
        <v>22</v>
      </c>
      <c r="L240" s="349" t="s">
        <v>1004</v>
      </c>
      <c r="M240" s="351"/>
      <c r="N240" s="351"/>
      <c r="O240" s="351"/>
      <c r="P240" s="351"/>
      <c r="Q240" s="349" t="s">
        <v>1552</v>
      </c>
      <c r="R240" s="351"/>
      <c r="S240" s="349" t="s">
        <v>1548</v>
      </c>
      <c r="T240" s="351"/>
      <c r="U240" s="349" t="s">
        <v>1004</v>
      </c>
      <c r="V240" s="351"/>
      <c r="W240" s="351"/>
      <c r="X240" s="350"/>
    </row>
    <row r="241" spans="1:24" ht="82.8" x14ac:dyDescent="0.3">
      <c r="A241" s="349" t="s">
        <v>860</v>
      </c>
      <c r="B241" s="349" t="s">
        <v>1191</v>
      </c>
      <c r="C241" s="350">
        <v>0</v>
      </c>
      <c r="D241" s="350">
        <v>0</v>
      </c>
      <c r="E241" s="350">
        <v>0</v>
      </c>
      <c r="F241" s="350">
        <v>0</v>
      </c>
      <c r="G241" s="350">
        <v>0</v>
      </c>
      <c r="H241" s="350">
        <v>0</v>
      </c>
      <c r="I241" s="350">
        <v>0</v>
      </c>
      <c r="J241" s="350">
        <v>1</v>
      </c>
      <c r="K241" s="349" t="s">
        <v>22</v>
      </c>
      <c r="L241" s="349" t="s">
        <v>1004</v>
      </c>
      <c r="M241" s="351"/>
      <c r="N241" s="351"/>
      <c r="O241" s="351"/>
      <c r="P241" s="351"/>
      <c r="Q241" s="349" t="s">
        <v>1553</v>
      </c>
      <c r="R241" s="351"/>
      <c r="S241" s="349" t="s">
        <v>1548</v>
      </c>
      <c r="T241" s="351"/>
      <c r="U241" s="349" t="s">
        <v>1004</v>
      </c>
      <c r="V241" s="351"/>
      <c r="W241" s="351"/>
      <c r="X241" s="350"/>
    </row>
    <row r="242" spans="1:24" ht="82.8" x14ac:dyDescent="0.3">
      <c r="A242" s="349" t="s">
        <v>861</v>
      </c>
      <c r="B242" s="349" t="s">
        <v>696</v>
      </c>
      <c r="C242" s="350">
        <v>0</v>
      </c>
      <c r="D242" s="350">
        <v>0</v>
      </c>
      <c r="E242" s="350">
        <v>0</v>
      </c>
      <c r="F242" s="350">
        <v>0</v>
      </c>
      <c r="G242" s="350">
        <v>0</v>
      </c>
      <c r="H242" s="350">
        <v>0</v>
      </c>
      <c r="I242" s="350">
        <v>0</v>
      </c>
      <c r="J242" s="350">
        <v>1</v>
      </c>
      <c r="K242" s="349"/>
      <c r="L242" s="349" t="s">
        <v>1004</v>
      </c>
      <c r="M242" s="351"/>
      <c r="N242" s="351"/>
      <c r="O242" s="349" t="s">
        <v>1554</v>
      </c>
      <c r="P242" s="349" t="s">
        <v>1554</v>
      </c>
      <c r="Q242" s="349" t="s">
        <v>1554</v>
      </c>
      <c r="R242" s="351"/>
      <c r="S242" s="351" t="s">
        <v>1816</v>
      </c>
      <c r="T242" s="351" t="s">
        <v>1817</v>
      </c>
      <c r="U242" s="352" t="s">
        <v>1004</v>
      </c>
      <c r="V242" s="351"/>
      <c r="W242" s="349"/>
      <c r="X242" s="350"/>
    </row>
    <row r="243" spans="1:24" ht="82.8" x14ac:dyDescent="0.3">
      <c r="A243" s="362" t="s">
        <v>697</v>
      </c>
      <c r="B243" s="362" t="s">
        <v>1121</v>
      </c>
      <c r="C243" s="350">
        <v>0</v>
      </c>
      <c r="D243" s="350">
        <v>0</v>
      </c>
      <c r="E243" s="350">
        <v>0</v>
      </c>
      <c r="F243" s="350">
        <v>0</v>
      </c>
      <c r="G243" s="350">
        <v>0</v>
      </c>
      <c r="H243" s="350">
        <v>0</v>
      </c>
      <c r="I243" s="350">
        <v>0</v>
      </c>
      <c r="J243" s="350">
        <v>1</v>
      </c>
      <c r="K243" s="351"/>
      <c r="L243" s="349" t="s">
        <v>9</v>
      </c>
      <c r="M243" s="351"/>
      <c r="N243" s="351"/>
      <c r="O243" s="351"/>
      <c r="P243" s="351"/>
      <c r="Q243" s="349" t="s">
        <v>1555</v>
      </c>
      <c r="R243" s="351"/>
      <c r="S243" s="349" t="s">
        <v>1890</v>
      </c>
      <c r="T243" s="351"/>
      <c r="U243" s="349" t="s">
        <v>148</v>
      </c>
      <c r="V243" s="351"/>
      <c r="W243" s="349" t="s">
        <v>46</v>
      </c>
      <c r="X243" s="350">
        <v>20</v>
      </c>
    </row>
    <row r="244" spans="1:24" ht="15.75" customHeight="1" x14ac:dyDescent="0.3">
      <c r="A244" s="349" t="s">
        <v>699</v>
      </c>
      <c r="B244" s="349" t="s">
        <v>1018</v>
      </c>
      <c r="C244" s="350">
        <v>0</v>
      </c>
      <c r="D244" s="350">
        <v>0</v>
      </c>
      <c r="E244" s="350">
        <v>0</v>
      </c>
      <c r="F244" s="350">
        <v>0</v>
      </c>
      <c r="G244" s="350">
        <v>0</v>
      </c>
      <c r="H244" s="350">
        <v>0</v>
      </c>
      <c r="I244" s="350">
        <v>0</v>
      </c>
      <c r="J244" s="350">
        <v>1</v>
      </c>
      <c r="K244" s="349"/>
      <c r="L244" s="349" t="s">
        <v>1004</v>
      </c>
      <c r="M244" s="351"/>
      <c r="N244" s="351"/>
      <c r="O244" s="349" t="s">
        <v>1556</v>
      </c>
      <c r="P244" s="349" t="s">
        <v>1556</v>
      </c>
      <c r="Q244" s="349" t="s">
        <v>1556</v>
      </c>
      <c r="R244" s="351"/>
      <c r="S244" s="351" t="s">
        <v>1818</v>
      </c>
      <c r="T244" s="351"/>
      <c r="U244" s="352" t="s">
        <v>1004</v>
      </c>
      <c r="V244" s="351"/>
      <c r="W244" s="349"/>
      <c r="X244" s="350"/>
    </row>
    <row r="245" spans="1:24" ht="82.8" x14ac:dyDescent="0.3">
      <c r="A245" s="349" t="s">
        <v>700</v>
      </c>
      <c r="B245" s="349" t="s">
        <v>1557</v>
      </c>
      <c r="C245" s="350">
        <v>0</v>
      </c>
      <c r="D245" s="350">
        <v>0</v>
      </c>
      <c r="E245" s="350">
        <v>0</v>
      </c>
      <c r="F245" s="350">
        <v>0</v>
      </c>
      <c r="G245" s="350">
        <v>0</v>
      </c>
      <c r="H245" s="350">
        <v>0</v>
      </c>
      <c r="I245" s="350">
        <v>0</v>
      </c>
      <c r="J245" s="350">
        <v>1</v>
      </c>
      <c r="K245" s="351"/>
      <c r="L245" s="349" t="s">
        <v>9</v>
      </c>
      <c r="M245" s="351"/>
      <c r="N245" s="351"/>
      <c r="O245" s="351"/>
      <c r="P245" s="351"/>
      <c r="Q245" s="349" t="s">
        <v>1558</v>
      </c>
      <c r="R245" s="351"/>
      <c r="S245" s="349" t="s">
        <v>1559</v>
      </c>
      <c r="T245" s="351"/>
      <c r="U245" s="349" t="s">
        <v>148</v>
      </c>
      <c r="V245" s="351"/>
      <c r="W245" s="349" t="s">
        <v>41</v>
      </c>
      <c r="X245" s="350">
        <v>5</v>
      </c>
    </row>
    <row r="246" spans="1:24" ht="69" x14ac:dyDescent="0.3">
      <c r="A246" s="349" t="s">
        <v>701</v>
      </c>
      <c r="B246" s="349" t="s">
        <v>698</v>
      </c>
      <c r="C246" s="350">
        <v>0</v>
      </c>
      <c r="D246" s="350">
        <v>0</v>
      </c>
      <c r="E246" s="350">
        <v>0</v>
      </c>
      <c r="F246" s="350">
        <v>0</v>
      </c>
      <c r="G246" s="350">
        <v>0</v>
      </c>
      <c r="H246" s="350">
        <v>0</v>
      </c>
      <c r="I246" s="350">
        <v>0</v>
      </c>
      <c r="J246" s="350">
        <v>1</v>
      </c>
      <c r="K246" s="351"/>
      <c r="L246" s="349" t="s">
        <v>9</v>
      </c>
      <c r="M246" s="351"/>
      <c r="N246" s="351"/>
      <c r="O246" s="349" t="s">
        <v>1560</v>
      </c>
      <c r="P246" s="349" t="s">
        <v>1561</v>
      </c>
      <c r="Q246" s="349" t="s">
        <v>1562</v>
      </c>
      <c r="R246" s="351"/>
      <c r="S246" s="349" t="s">
        <v>1563</v>
      </c>
      <c r="T246" s="351"/>
      <c r="U246" s="349" t="s">
        <v>40</v>
      </c>
      <c r="V246" s="351"/>
      <c r="W246" s="349" t="s">
        <v>41</v>
      </c>
      <c r="X246" s="350">
        <v>5</v>
      </c>
    </row>
    <row r="247" spans="1:24" ht="234.6" x14ac:dyDescent="0.3">
      <c r="A247" s="349" t="s">
        <v>702</v>
      </c>
      <c r="B247" s="349" t="s">
        <v>1019</v>
      </c>
      <c r="C247" s="350">
        <v>0</v>
      </c>
      <c r="D247" s="350">
        <v>0</v>
      </c>
      <c r="E247" s="350">
        <v>0</v>
      </c>
      <c r="F247" s="350">
        <v>0</v>
      </c>
      <c r="G247" s="350">
        <v>0</v>
      </c>
      <c r="H247" s="350">
        <v>0</v>
      </c>
      <c r="I247" s="350">
        <v>0</v>
      </c>
      <c r="J247" s="350">
        <v>1</v>
      </c>
      <c r="K247" s="349"/>
      <c r="L247" s="349" t="s">
        <v>1004</v>
      </c>
      <c r="M247" s="351"/>
      <c r="N247" s="351"/>
      <c r="O247" s="349" t="s">
        <v>1564</v>
      </c>
      <c r="P247" s="349" t="s">
        <v>1565</v>
      </c>
      <c r="Q247" s="349" t="s">
        <v>1566</v>
      </c>
      <c r="R247" s="349" t="s">
        <v>1567</v>
      </c>
      <c r="S247" s="349" t="s">
        <v>1568</v>
      </c>
      <c r="T247" s="351"/>
      <c r="U247" s="349" t="s">
        <v>1004</v>
      </c>
      <c r="V247" s="351"/>
      <c r="W247" s="351"/>
      <c r="X247" s="350"/>
    </row>
    <row r="248" spans="1:24" ht="151.80000000000001" x14ac:dyDescent="0.3">
      <c r="A248" s="349" t="s">
        <v>703</v>
      </c>
      <c r="B248" s="349" t="s">
        <v>973</v>
      </c>
      <c r="C248" s="350">
        <v>0</v>
      </c>
      <c r="D248" s="350">
        <v>0</v>
      </c>
      <c r="E248" s="350">
        <v>0</v>
      </c>
      <c r="F248" s="350">
        <v>0</v>
      </c>
      <c r="G248" s="350">
        <v>0</v>
      </c>
      <c r="H248" s="350">
        <v>0</v>
      </c>
      <c r="I248" s="350">
        <v>0</v>
      </c>
      <c r="J248" s="350">
        <v>1</v>
      </c>
      <c r="K248" s="349"/>
      <c r="L248" s="349" t="s">
        <v>1004</v>
      </c>
      <c r="M248" s="351"/>
      <c r="N248" s="351"/>
      <c r="O248" s="349" t="s">
        <v>1569</v>
      </c>
      <c r="P248" s="349" t="s">
        <v>1570</v>
      </c>
      <c r="Q248" s="349" t="s">
        <v>1571</v>
      </c>
      <c r="R248" s="349" t="s">
        <v>1567</v>
      </c>
      <c r="S248" s="349" t="s">
        <v>1572</v>
      </c>
      <c r="T248" s="349" t="s">
        <v>1573</v>
      </c>
      <c r="U248" s="349" t="s">
        <v>1004</v>
      </c>
      <c r="V248" s="351"/>
      <c r="W248" s="351"/>
      <c r="X248" s="350"/>
    </row>
    <row r="249" spans="1:24" ht="248.4" x14ac:dyDescent="0.3">
      <c r="A249" s="349" t="s">
        <v>704</v>
      </c>
      <c r="B249" s="349" t="s">
        <v>705</v>
      </c>
      <c r="C249" s="350">
        <v>0</v>
      </c>
      <c r="D249" s="350">
        <v>0</v>
      </c>
      <c r="E249" s="350">
        <v>0</v>
      </c>
      <c r="F249" s="350">
        <v>0</v>
      </c>
      <c r="G249" s="350">
        <v>0</v>
      </c>
      <c r="H249" s="350">
        <v>0</v>
      </c>
      <c r="I249" s="350">
        <v>0</v>
      </c>
      <c r="J249" s="350">
        <v>1</v>
      </c>
      <c r="K249" s="351"/>
      <c r="L249" s="349" t="s">
        <v>9</v>
      </c>
      <c r="M249" s="351"/>
      <c r="N249" s="351"/>
      <c r="O249" s="351"/>
      <c r="P249" s="349" t="s">
        <v>1574</v>
      </c>
      <c r="Q249" s="349" t="s">
        <v>1575</v>
      </c>
      <c r="R249" s="349" t="s">
        <v>1567</v>
      </c>
      <c r="S249" s="349" t="s">
        <v>1891</v>
      </c>
      <c r="T249" s="349" t="s">
        <v>1576</v>
      </c>
      <c r="U249" s="349" t="s">
        <v>40</v>
      </c>
      <c r="V249" s="351"/>
      <c r="W249" s="349" t="s">
        <v>75</v>
      </c>
      <c r="X249" s="350">
        <v>10</v>
      </c>
    </row>
    <row r="250" spans="1:24" ht="151.80000000000001" x14ac:dyDescent="0.3">
      <c r="A250" s="362" t="s">
        <v>706</v>
      </c>
      <c r="B250" s="362" t="s">
        <v>1435</v>
      </c>
      <c r="C250" s="350">
        <v>0</v>
      </c>
      <c r="D250" s="350">
        <v>0</v>
      </c>
      <c r="E250" s="350">
        <v>0</v>
      </c>
      <c r="F250" s="350">
        <v>0</v>
      </c>
      <c r="G250" s="350">
        <v>0</v>
      </c>
      <c r="H250" s="350">
        <v>0</v>
      </c>
      <c r="I250" s="350">
        <v>0</v>
      </c>
      <c r="J250" s="350">
        <v>1</v>
      </c>
      <c r="K250" s="351"/>
      <c r="L250" s="349" t="s">
        <v>9</v>
      </c>
      <c r="M250" s="351"/>
      <c r="N250" s="351"/>
      <c r="O250" s="349" t="s">
        <v>1577</v>
      </c>
      <c r="P250" s="349" t="s">
        <v>1578</v>
      </c>
      <c r="Q250" s="349" t="s">
        <v>1579</v>
      </c>
      <c r="R250" s="349" t="s">
        <v>1567</v>
      </c>
      <c r="S250" s="349" t="s">
        <v>1580</v>
      </c>
      <c r="T250" s="351"/>
      <c r="U250" s="349" t="s">
        <v>40</v>
      </c>
      <c r="V250" s="351"/>
      <c r="W250" s="349" t="s">
        <v>46</v>
      </c>
      <c r="X250" s="350">
        <v>20</v>
      </c>
    </row>
    <row r="251" spans="1:24" ht="303.60000000000002" x14ac:dyDescent="0.3">
      <c r="A251" s="349" t="s">
        <v>708</v>
      </c>
      <c r="B251" s="349" t="s">
        <v>1867</v>
      </c>
      <c r="C251" s="350">
        <v>0</v>
      </c>
      <c r="D251" s="350">
        <v>0</v>
      </c>
      <c r="E251" s="350">
        <v>0</v>
      </c>
      <c r="F251" s="350">
        <v>0</v>
      </c>
      <c r="G251" s="350">
        <v>0</v>
      </c>
      <c r="H251" s="350">
        <v>0</v>
      </c>
      <c r="I251" s="350">
        <v>0</v>
      </c>
      <c r="J251" s="350">
        <v>1</v>
      </c>
      <c r="K251" s="351"/>
      <c r="L251" s="349" t="s">
        <v>9</v>
      </c>
      <c r="M251" s="351"/>
      <c r="N251" s="351"/>
      <c r="O251" s="349" t="s">
        <v>1581</v>
      </c>
      <c r="P251" s="349" t="s">
        <v>1582</v>
      </c>
      <c r="Q251" s="349" t="s">
        <v>707</v>
      </c>
      <c r="R251" s="348" t="s">
        <v>1528</v>
      </c>
      <c r="S251" s="349" t="s">
        <v>1583</v>
      </c>
      <c r="T251" s="349" t="s">
        <v>1584</v>
      </c>
      <c r="U251" s="349" t="s">
        <v>40</v>
      </c>
      <c r="V251" s="351"/>
      <c r="W251" s="349" t="s">
        <v>41</v>
      </c>
      <c r="X251" s="350">
        <v>5</v>
      </c>
    </row>
    <row r="252" spans="1:24" ht="69" x14ac:dyDescent="0.3">
      <c r="A252" s="349" t="s">
        <v>709</v>
      </c>
      <c r="B252" s="349" t="s">
        <v>710</v>
      </c>
      <c r="C252" s="350">
        <v>0</v>
      </c>
      <c r="D252" s="350">
        <v>0</v>
      </c>
      <c r="E252" s="350">
        <v>0</v>
      </c>
      <c r="F252" s="350">
        <v>0</v>
      </c>
      <c r="G252" s="350">
        <v>0</v>
      </c>
      <c r="H252" s="350">
        <v>0</v>
      </c>
      <c r="I252" s="350">
        <v>0</v>
      </c>
      <c r="J252" s="350">
        <v>1</v>
      </c>
      <c r="K252" s="349"/>
      <c r="L252" s="349" t="s">
        <v>9</v>
      </c>
      <c r="M252" s="351"/>
      <c r="N252" s="351"/>
      <c r="O252" s="349" t="s">
        <v>1585</v>
      </c>
      <c r="P252" s="349" t="s">
        <v>429</v>
      </c>
      <c r="Q252" s="349" t="s">
        <v>1586</v>
      </c>
      <c r="R252" s="351"/>
      <c r="S252" s="349" t="s">
        <v>1587</v>
      </c>
      <c r="T252" s="349" t="s">
        <v>1588</v>
      </c>
      <c r="U252" s="349" t="s">
        <v>40</v>
      </c>
      <c r="V252" s="351"/>
      <c r="W252" s="351" t="s">
        <v>75</v>
      </c>
      <c r="X252" s="350">
        <v>10</v>
      </c>
    </row>
    <row r="253" spans="1:24" ht="55.2" x14ac:dyDescent="0.3">
      <c r="A253" s="349" t="s">
        <v>711</v>
      </c>
      <c r="B253" s="349" t="s">
        <v>712</v>
      </c>
      <c r="C253" s="350">
        <v>0</v>
      </c>
      <c r="D253" s="350">
        <v>0</v>
      </c>
      <c r="E253" s="350">
        <v>0</v>
      </c>
      <c r="F253" s="350">
        <v>0</v>
      </c>
      <c r="G253" s="350">
        <v>0</v>
      </c>
      <c r="H253" s="350">
        <v>0</v>
      </c>
      <c r="I253" s="350">
        <v>0</v>
      </c>
      <c r="J253" s="350">
        <v>1</v>
      </c>
      <c r="K253" s="351"/>
      <c r="L253" s="349" t="s">
        <v>9</v>
      </c>
      <c r="M253" s="351"/>
      <c r="N253" s="351"/>
      <c r="O253" s="349" t="s">
        <v>1589</v>
      </c>
      <c r="P253" s="349" t="s">
        <v>429</v>
      </c>
      <c r="Q253" s="349" t="s">
        <v>1590</v>
      </c>
      <c r="R253" s="351"/>
      <c r="S253" s="349" t="s">
        <v>1892</v>
      </c>
      <c r="T253" s="349" t="s">
        <v>1588</v>
      </c>
      <c r="U253" s="349" t="s">
        <v>40</v>
      </c>
      <c r="V253" s="351"/>
      <c r="W253" s="349" t="s">
        <v>41</v>
      </c>
      <c r="X253" s="350">
        <v>5</v>
      </c>
    </row>
    <row r="254" spans="1:24" ht="248.4" x14ac:dyDescent="0.25">
      <c r="A254" s="362" t="s">
        <v>713</v>
      </c>
      <c r="B254" s="362" t="s">
        <v>1475</v>
      </c>
      <c r="C254" s="350">
        <v>0</v>
      </c>
      <c r="D254" s="350">
        <v>0</v>
      </c>
      <c r="E254" s="350">
        <v>0</v>
      </c>
      <c r="F254" s="350">
        <v>0</v>
      </c>
      <c r="G254" s="350">
        <v>0</v>
      </c>
      <c r="H254" s="350">
        <v>0</v>
      </c>
      <c r="I254" s="350">
        <v>0</v>
      </c>
      <c r="J254" s="350">
        <v>1</v>
      </c>
      <c r="K254" s="349"/>
      <c r="L254" s="349" t="s">
        <v>9</v>
      </c>
      <c r="M254" s="351"/>
      <c r="N254" s="351"/>
      <c r="O254" s="353" t="s">
        <v>1591</v>
      </c>
      <c r="P254" s="353" t="s">
        <v>1591</v>
      </c>
      <c r="Q254" s="349" t="s">
        <v>1592</v>
      </c>
      <c r="R254" s="351"/>
      <c r="S254" s="349" t="s">
        <v>1593</v>
      </c>
      <c r="T254" s="349" t="s">
        <v>1594</v>
      </c>
      <c r="U254" s="349" t="s">
        <v>148</v>
      </c>
      <c r="V254" s="351"/>
      <c r="W254" s="349" t="s">
        <v>46</v>
      </c>
      <c r="X254" s="350">
        <v>20</v>
      </c>
    </row>
    <row r="255" spans="1:24" ht="289.8" x14ac:dyDescent="0.25">
      <c r="A255" s="362" t="s">
        <v>715</v>
      </c>
      <c r="B255" s="362" t="s">
        <v>1595</v>
      </c>
      <c r="C255" s="350">
        <v>0</v>
      </c>
      <c r="D255" s="350">
        <v>0</v>
      </c>
      <c r="E255" s="350">
        <v>0</v>
      </c>
      <c r="F255" s="350">
        <v>0</v>
      </c>
      <c r="G255" s="350">
        <v>0</v>
      </c>
      <c r="H255" s="350">
        <v>0</v>
      </c>
      <c r="I255" s="350">
        <v>0</v>
      </c>
      <c r="J255" s="350">
        <v>1</v>
      </c>
      <c r="K255" s="349"/>
      <c r="L255" s="349" t="s">
        <v>9</v>
      </c>
      <c r="M255" s="351"/>
      <c r="N255" s="351"/>
      <c r="O255" s="353" t="s">
        <v>1596</v>
      </c>
      <c r="P255" s="353" t="s">
        <v>1596</v>
      </c>
      <c r="Q255" s="349" t="s">
        <v>1597</v>
      </c>
      <c r="R255" s="351"/>
      <c r="S255" s="349" t="s">
        <v>1593</v>
      </c>
      <c r="T255" s="349" t="s">
        <v>1594</v>
      </c>
      <c r="U255" s="349" t="s">
        <v>148</v>
      </c>
      <c r="V255" s="351"/>
      <c r="W255" s="349" t="s">
        <v>46</v>
      </c>
      <c r="X255" s="350">
        <v>20</v>
      </c>
    </row>
    <row r="256" spans="1:24" ht="207" x14ac:dyDescent="0.25">
      <c r="A256" s="362" t="s">
        <v>717</v>
      </c>
      <c r="B256" s="362" t="s">
        <v>1020</v>
      </c>
      <c r="C256" s="350">
        <v>0</v>
      </c>
      <c r="D256" s="350">
        <v>0</v>
      </c>
      <c r="E256" s="350">
        <v>0</v>
      </c>
      <c r="F256" s="350">
        <v>0</v>
      </c>
      <c r="G256" s="350">
        <v>0</v>
      </c>
      <c r="H256" s="350">
        <v>0</v>
      </c>
      <c r="I256" s="350">
        <v>0</v>
      </c>
      <c r="J256" s="350">
        <v>1</v>
      </c>
      <c r="K256" s="349"/>
      <c r="L256" s="349" t="s">
        <v>9</v>
      </c>
      <c r="M256" s="351"/>
      <c r="N256" s="351"/>
      <c r="O256" s="353" t="s">
        <v>1598</v>
      </c>
      <c r="P256" s="353" t="s">
        <v>1598</v>
      </c>
      <c r="Q256" s="349" t="s">
        <v>1122</v>
      </c>
      <c r="R256" s="351"/>
      <c r="S256" s="351" t="s">
        <v>1819</v>
      </c>
      <c r="T256" s="351" t="s">
        <v>1820</v>
      </c>
      <c r="U256" s="349" t="s">
        <v>148</v>
      </c>
      <c r="V256" s="351"/>
      <c r="W256" s="349" t="s">
        <v>46</v>
      </c>
      <c r="X256" s="350">
        <v>20</v>
      </c>
    </row>
    <row r="257" spans="1:24" ht="151.80000000000001" x14ac:dyDescent="0.25">
      <c r="A257" s="349" t="s">
        <v>718</v>
      </c>
      <c r="B257" s="349" t="s">
        <v>1123</v>
      </c>
      <c r="C257" s="350">
        <v>0</v>
      </c>
      <c r="D257" s="350">
        <v>0</v>
      </c>
      <c r="E257" s="350">
        <v>0</v>
      </c>
      <c r="F257" s="350">
        <v>0</v>
      </c>
      <c r="G257" s="350">
        <v>0</v>
      </c>
      <c r="H257" s="350">
        <v>0</v>
      </c>
      <c r="I257" s="350">
        <v>0</v>
      </c>
      <c r="J257" s="350">
        <v>1</v>
      </c>
      <c r="K257" s="351"/>
      <c r="L257" s="349" t="s">
        <v>9</v>
      </c>
      <c r="M257" s="351"/>
      <c r="N257" s="351"/>
      <c r="O257" s="353" t="s">
        <v>1599</v>
      </c>
      <c r="P257" s="353" t="s">
        <v>1599</v>
      </c>
      <c r="Q257" s="353" t="s">
        <v>714</v>
      </c>
      <c r="R257" s="351"/>
      <c r="S257" s="351" t="s">
        <v>1821</v>
      </c>
      <c r="T257" s="351" t="s">
        <v>1822</v>
      </c>
      <c r="U257" s="349" t="s">
        <v>148</v>
      </c>
      <c r="V257" s="351"/>
      <c r="W257" s="349" t="s">
        <v>41</v>
      </c>
      <c r="X257" s="350">
        <v>5</v>
      </c>
    </row>
    <row r="258" spans="1:24" ht="110.4" x14ac:dyDescent="0.25">
      <c r="A258" s="349" t="s">
        <v>719</v>
      </c>
      <c r="B258" s="349" t="s">
        <v>972</v>
      </c>
      <c r="C258" s="350">
        <v>0</v>
      </c>
      <c r="D258" s="350">
        <v>0</v>
      </c>
      <c r="E258" s="350">
        <v>0</v>
      </c>
      <c r="F258" s="350">
        <v>0</v>
      </c>
      <c r="G258" s="350">
        <v>0</v>
      </c>
      <c r="H258" s="350">
        <v>0</v>
      </c>
      <c r="I258" s="350">
        <v>0</v>
      </c>
      <c r="J258" s="350">
        <v>1</v>
      </c>
      <c r="K258" s="351"/>
      <c r="L258" s="349" t="s">
        <v>9</v>
      </c>
      <c r="M258" s="351"/>
      <c r="N258" s="351"/>
      <c r="O258" s="353" t="s">
        <v>1600</v>
      </c>
      <c r="P258" s="353" t="s">
        <v>1600</v>
      </c>
      <c r="Q258" s="349" t="s">
        <v>1601</v>
      </c>
      <c r="R258" s="351"/>
      <c r="S258" s="349" t="s">
        <v>1602</v>
      </c>
      <c r="T258" s="351"/>
      <c r="U258" s="349" t="s">
        <v>148</v>
      </c>
      <c r="V258" s="351"/>
      <c r="W258" s="349" t="s">
        <v>41</v>
      </c>
      <c r="X258" s="350">
        <v>5</v>
      </c>
    </row>
    <row r="259" spans="1:24" ht="55.2" x14ac:dyDescent="0.25">
      <c r="A259" s="349" t="s">
        <v>720</v>
      </c>
      <c r="B259" s="349" t="s">
        <v>1124</v>
      </c>
      <c r="C259" s="350">
        <v>0</v>
      </c>
      <c r="D259" s="350">
        <v>0</v>
      </c>
      <c r="E259" s="350">
        <v>0</v>
      </c>
      <c r="F259" s="350">
        <v>0</v>
      </c>
      <c r="G259" s="350">
        <v>0</v>
      </c>
      <c r="H259" s="350">
        <v>0</v>
      </c>
      <c r="I259" s="350">
        <v>0</v>
      </c>
      <c r="J259" s="350">
        <v>1</v>
      </c>
      <c r="K259" s="351"/>
      <c r="L259" s="349" t="s">
        <v>9</v>
      </c>
      <c r="M259" s="351"/>
      <c r="N259" s="351"/>
      <c r="O259" s="353" t="s">
        <v>1603</v>
      </c>
      <c r="P259" s="353" t="s">
        <v>1603</v>
      </c>
      <c r="Q259" s="349" t="s">
        <v>722</v>
      </c>
      <c r="R259" s="351"/>
      <c r="S259" s="353" t="s">
        <v>1603</v>
      </c>
      <c r="T259" s="351"/>
      <c r="U259" s="349" t="s">
        <v>148</v>
      </c>
      <c r="V259" s="351"/>
      <c r="W259" s="349" t="s">
        <v>41</v>
      </c>
      <c r="X259" s="350">
        <v>5</v>
      </c>
    </row>
    <row r="260" spans="1:24" ht="69" x14ac:dyDescent="0.25">
      <c r="A260" s="349" t="s">
        <v>721</v>
      </c>
      <c r="B260" s="349" t="s">
        <v>1125</v>
      </c>
      <c r="C260" s="350">
        <v>0</v>
      </c>
      <c r="D260" s="350">
        <v>0</v>
      </c>
      <c r="E260" s="350">
        <v>0</v>
      </c>
      <c r="F260" s="350">
        <v>0</v>
      </c>
      <c r="G260" s="350">
        <v>0</v>
      </c>
      <c r="H260" s="350">
        <v>0</v>
      </c>
      <c r="I260" s="350">
        <v>0</v>
      </c>
      <c r="J260" s="350">
        <v>1</v>
      </c>
      <c r="K260" s="351"/>
      <c r="L260" s="349" t="s">
        <v>9</v>
      </c>
      <c r="M260" s="351"/>
      <c r="N260" s="351"/>
      <c r="O260" s="353" t="s">
        <v>1604</v>
      </c>
      <c r="P260" s="353" t="s">
        <v>1604</v>
      </c>
      <c r="Q260" s="349" t="s">
        <v>1126</v>
      </c>
      <c r="R260" s="351"/>
      <c r="S260" s="349" t="s">
        <v>1605</v>
      </c>
      <c r="T260" s="351"/>
      <c r="U260" s="349" t="s">
        <v>148</v>
      </c>
      <c r="V260" s="351"/>
      <c r="W260" s="349" t="s">
        <v>41</v>
      </c>
      <c r="X260" s="350">
        <v>5</v>
      </c>
    </row>
    <row r="261" spans="1:24" ht="69" x14ac:dyDescent="0.25">
      <c r="A261" s="349" t="s">
        <v>723</v>
      </c>
      <c r="B261" s="349" t="s">
        <v>716</v>
      </c>
      <c r="C261" s="350">
        <v>0</v>
      </c>
      <c r="D261" s="350">
        <v>0</v>
      </c>
      <c r="E261" s="350">
        <v>0</v>
      </c>
      <c r="F261" s="350">
        <v>0</v>
      </c>
      <c r="G261" s="350">
        <v>0</v>
      </c>
      <c r="H261" s="350">
        <v>0</v>
      </c>
      <c r="I261" s="350">
        <v>0</v>
      </c>
      <c r="J261" s="350">
        <v>1</v>
      </c>
      <c r="K261" s="349"/>
      <c r="L261" s="349" t="s">
        <v>1004</v>
      </c>
      <c r="M261" s="351"/>
      <c r="N261" s="351"/>
      <c r="O261" s="354"/>
      <c r="P261" s="349" t="s">
        <v>1606</v>
      </c>
      <c r="Q261" s="351"/>
      <c r="R261" s="351"/>
      <c r="S261" s="349" t="s">
        <v>1607</v>
      </c>
      <c r="T261" s="351"/>
      <c r="U261" s="349" t="s">
        <v>1004</v>
      </c>
      <c r="V261" s="351"/>
      <c r="W261" s="349"/>
      <c r="X261" s="350"/>
    </row>
    <row r="262" spans="1:24" ht="165.6" x14ac:dyDescent="0.25">
      <c r="A262" s="349" t="s">
        <v>724</v>
      </c>
      <c r="B262" s="349" t="s">
        <v>725</v>
      </c>
      <c r="C262" s="350">
        <v>0</v>
      </c>
      <c r="D262" s="350">
        <v>0</v>
      </c>
      <c r="E262" s="350">
        <v>0</v>
      </c>
      <c r="F262" s="350">
        <v>0</v>
      </c>
      <c r="G262" s="350">
        <v>0</v>
      </c>
      <c r="H262" s="350">
        <v>0</v>
      </c>
      <c r="I262" s="350">
        <v>0</v>
      </c>
      <c r="J262" s="350">
        <v>1</v>
      </c>
      <c r="K262" s="351"/>
      <c r="L262" s="349" t="s">
        <v>9</v>
      </c>
      <c r="M262" s="351"/>
      <c r="N262" s="351"/>
      <c r="O262" s="354"/>
      <c r="P262" s="349" t="s">
        <v>1608</v>
      </c>
      <c r="Q262" s="349" t="s">
        <v>726</v>
      </c>
      <c r="R262" s="351"/>
      <c r="S262" s="349" t="s">
        <v>1609</v>
      </c>
      <c r="T262" s="355" t="s">
        <v>1610</v>
      </c>
      <c r="U262" s="349" t="s">
        <v>40</v>
      </c>
      <c r="V262" s="351"/>
      <c r="W262" s="349" t="s">
        <v>41</v>
      </c>
      <c r="X262" s="350">
        <v>5</v>
      </c>
    </row>
    <row r="263" spans="1:24" ht="179.4" x14ac:dyDescent="0.3">
      <c r="A263" s="349" t="s">
        <v>727</v>
      </c>
      <c r="B263" s="349" t="s">
        <v>1127</v>
      </c>
      <c r="C263" s="350">
        <v>0</v>
      </c>
      <c r="D263" s="350">
        <v>0</v>
      </c>
      <c r="E263" s="350">
        <v>0</v>
      </c>
      <c r="F263" s="350">
        <v>0</v>
      </c>
      <c r="G263" s="350">
        <v>0</v>
      </c>
      <c r="H263" s="350">
        <v>0</v>
      </c>
      <c r="I263" s="350">
        <v>0</v>
      </c>
      <c r="J263" s="350">
        <v>1</v>
      </c>
      <c r="K263" s="351"/>
      <c r="L263" s="349" t="s">
        <v>9</v>
      </c>
      <c r="M263" s="351"/>
      <c r="N263" s="351"/>
      <c r="O263" s="349" t="s">
        <v>1611</v>
      </c>
      <c r="P263" s="349" t="s">
        <v>728</v>
      </c>
      <c r="Q263" s="349" t="s">
        <v>729</v>
      </c>
      <c r="R263" s="351"/>
      <c r="S263" s="349" t="s">
        <v>1612</v>
      </c>
      <c r="T263" s="351"/>
      <c r="U263" s="349" t="s">
        <v>40</v>
      </c>
      <c r="V263" s="351"/>
      <c r="W263" s="349" t="s">
        <v>41</v>
      </c>
      <c r="X263" s="350">
        <v>5</v>
      </c>
    </row>
    <row r="264" spans="1:24" ht="96.6" x14ac:dyDescent="0.3">
      <c r="A264" s="349" t="s">
        <v>730</v>
      </c>
      <c r="B264" s="349" t="s">
        <v>515</v>
      </c>
      <c r="C264" s="350">
        <v>0</v>
      </c>
      <c r="D264" s="350">
        <v>0</v>
      </c>
      <c r="E264" s="350">
        <v>0</v>
      </c>
      <c r="F264" s="350">
        <v>0</v>
      </c>
      <c r="G264" s="350">
        <v>0</v>
      </c>
      <c r="H264" s="350">
        <v>0</v>
      </c>
      <c r="I264" s="350">
        <v>0</v>
      </c>
      <c r="J264" s="350">
        <v>1</v>
      </c>
      <c r="K264" s="351"/>
      <c r="L264" s="349" t="s">
        <v>9</v>
      </c>
      <c r="M264" s="351"/>
      <c r="N264" s="351"/>
      <c r="O264" s="351"/>
      <c r="P264" s="349" t="s">
        <v>731</v>
      </c>
      <c r="Q264" s="349" t="s">
        <v>1613</v>
      </c>
      <c r="R264" s="351"/>
      <c r="S264" s="349" t="s">
        <v>1614</v>
      </c>
      <c r="T264" s="349" t="s">
        <v>1615</v>
      </c>
      <c r="U264" s="349" t="s">
        <v>40</v>
      </c>
      <c r="V264" s="351"/>
      <c r="W264" s="349" t="s">
        <v>75</v>
      </c>
      <c r="X264" s="350">
        <v>10</v>
      </c>
    </row>
    <row r="265" spans="1:24" ht="96.6" x14ac:dyDescent="0.3">
      <c r="A265" s="349" t="s">
        <v>732</v>
      </c>
      <c r="B265" s="349" t="s">
        <v>733</v>
      </c>
      <c r="C265" s="350">
        <v>0</v>
      </c>
      <c r="D265" s="350">
        <v>0</v>
      </c>
      <c r="E265" s="350">
        <v>0</v>
      </c>
      <c r="F265" s="350">
        <v>0</v>
      </c>
      <c r="G265" s="350">
        <v>0</v>
      </c>
      <c r="H265" s="350">
        <v>0</v>
      </c>
      <c r="I265" s="350">
        <v>0</v>
      </c>
      <c r="J265" s="350">
        <v>1</v>
      </c>
      <c r="K265" s="351"/>
      <c r="L265" s="349" t="s">
        <v>9</v>
      </c>
      <c r="M265" s="351"/>
      <c r="N265" s="351"/>
      <c r="O265" s="349" t="s">
        <v>1616</v>
      </c>
      <c r="P265" s="349" t="s">
        <v>1617</v>
      </c>
      <c r="Q265" s="351"/>
      <c r="R265" s="351"/>
      <c r="S265" s="349" t="s">
        <v>1618</v>
      </c>
      <c r="T265" s="349" t="s">
        <v>1893</v>
      </c>
      <c r="U265" s="349" t="s">
        <v>40</v>
      </c>
      <c r="V265" s="351"/>
      <c r="W265" s="349" t="s">
        <v>41</v>
      </c>
      <c r="X265" s="350">
        <v>5</v>
      </c>
    </row>
    <row r="266" spans="1:24" ht="96.6" x14ac:dyDescent="0.3">
      <c r="A266" s="349" t="s">
        <v>734</v>
      </c>
      <c r="B266" s="349" t="s">
        <v>735</v>
      </c>
      <c r="C266" s="350">
        <v>0</v>
      </c>
      <c r="D266" s="350">
        <v>0</v>
      </c>
      <c r="E266" s="350">
        <v>0</v>
      </c>
      <c r="F266" s="350">
        <v>0</v>
      </c>
      <c r="G266" s="350">
        <v>0</v>
      </c>
      <c r="H266" s="350">
        <v>0</v>
      </c>
      <c r="I266" s="350">
        <v>0</v>
      </c>
      <c r="J266" s="350">
        <v>1</v>
      </c>
      <c r="K266" s="351"/>
      <c r="L266" s="349" t="s">
        <v>9</v>
      </c>
      <c r="M266" s="351"/>
      <c r="N266" s="351"/>
      <c r="O266" s="349" t="s">
        <v>1619</v>
      </c>
      <c r="P266" s="349" t="s">
        <v>1620</v>
      </c>
      <c r="Q266" s="351"/>
      <c r="R266" s="351"/>
      <c r="S266" s="349" t="s">
        <v>1621</v>
      </c>
      <c r="T266" s="349" t="s">
        <v>1622</v>
      </c>
      <c r="U266" s="349" t="s">
        <v>40</v>
      </c>
      <c r="V266" s="351"/>
      <c r="W266" s="349" t="s">
        <v>41</v>
      </c>
      <c r="X266" s="350">
        <v>5</v>
      </c>
    </row>
    <row r="267" spans="1:24" ht="207" x14ac:dyDescent="0.3">
      <c r="A267" s="362" t="s">
        <v>736</v>
      </c>
      <c r="B267" s="362" t="s">
        <v>1021</v>
      </c>
      <c r="C267" s="350">
        <v>0</v>
      </c>
      <c r="D267" s="350">
        <v>0</v>
      </c>
      <c r="E267" s="350">
        <v>0</v>
      </c>
      <c r="F267" s="350">
        <v>0</v>
      </c>
      <c r="G267" s="350">
        <v>0</v>
      </c>
      <c r="H267" s="350">
        <v>0</v>
      </c>
      <c r="I267" s="350">
        <v>0</v>
      </c>
      <c r="J267" s="350">
        <v>1</v>
      </c>
      <c r="K267" s="351"/>
      <c r="L267" s="349" t="s">
        <v>9</v>
      </c>
      <c r="M267" s="351"/>
      <c r="N267" s="351"/>
      <c r="O267" s="349" t="s">
        <v>1623</v>
      </c>
      <c r="P267" s="349" t="s">
        <v>1624</v>
      </c>
      <c r="Q267" s="349" t="s">
        <v>1625</v>
      </c>
      <c r="R267" s="351"/>
      <c r="S267" s="349" t="s">
        <v>1626</v>
      </c>
      <c r="T267" s="351"/>
      <c r="U267" s="349" t="s">
        <v>40</v>
      </c>
      <c r="V267" s="351"/>
      <c r="W267" s="349" t="s">
        <v>46</v>
      </c>
      <c r="X267" s="350">
        <v>20</v>
      </c>
    </row>
    <row r="268" spans="1:24" ht="96.6" x14ac:dyDescent="0.3">
      <c r="A268" s="349" t="s">
        <v>737</v>
      </c>
      <c r="B268" s="349" t="s">
        <v>738</v>
      </c>
      <c r="C268" s="350">
        <v>0</v>
      </c>
      <c r="D268" s="350">
        <v>0</v>
      </c>
      <c r="E268" s="350">
        <v>0</v>
      </c>
      <c r="F268" s="350">
        <v>0</v>
      </c>
      <c r="G268" s="350">
        <v>0</v>
      </c>
      <c r="H268" s="350">
        <v>0</v>
      </c>
      <c r="I268" s="350">
        <v>0</v>
      </c>
      <c r="J268" s="350">
        <v>1</v>
      </c>
      <c r="K268" s="351"/>
      <c r="L268" s="349" t="s">
        <v>9</v>
      </c>
      <c r="M268" s="351"/>
      <c r="N268" s="351"/>
      <c r="O268" s="351"/>
      <c r="P268" s="349" t="s">
        <v>739</v>
      </c>
      <c r="Q268" s="349" t="s">
        <v>1627</v>
      </c>
      <c r="R268" s="351"/>
      <c r="S268" s="349" t="s">
        <v>1628</v>
      </c>
      <c r="T268" s="349" t="s">
        <v>1629</v>
      </c>
      <c r="U268" s="349" t="s">
        <v>40</v>
      </c>
      <c r="V268" s="351"/>
      <c r="W268" s="349" t="s">
        <v>41</v>
      </c>
      <c r="X268" s="350">
        <v>5</v>
      </c>
    </row>
    <row r="269" spans="1:24" ht="165.6" x14ac:dyDescent="0.3">
      <c r="A269" s="349" t="s">
        <v>740</v>
      </c>
      <c r="B269" s="349" t="s">
        <v>741</v>
      </c>
      <c r="C269" s="350">
        <v>0</v>
      </c>
      <c r="D269" s="350">
        <v>0</v>
      </c>
      <c r="E269" s="350">
        <v>0</v>
      </c>
      <c r="F269" s="350">
        <v>0</v>
      </c>
      <c r="G269" s="350">
        <v>0</v>
      </c>
      <c r="H269" s="350">
        <v>0</v>
      </c>
      <c r="I269" s="350">
        <v>0</v>
      </c>
      <c r="J269" s="350">
        <v>1</v>
      </c>
      <c r="K269" s="351"/>
      <c r="L269" s="349" t="s">
        <v>9</v>
      </c>
      <c r="M269" s="351"/>
      <c r="N269" s="351"/>
      <c r="O269" s="351"/>
      <c r="P269" s="349" t="s">
        <v>742</v>
      </c>
      <c r="Q269" s="349" t="s">
        <v>1625</v>
      </c>
      <c r="R269" s="348" t="s">
        <v>1528</v>
      </c>
      <c r="S269" s="349" t="s">
        <v>1630</v>
      </c>
      <c r="T269" s="349" t="s">
        <v>1631</v>
      </c>
      <c r="U269" s="349" t="s">
        <v>40</v>
      </c>
      <c r="V269" s="351"/>
      <c r="W269" s="349" t="s">
        <v>41</v>
      </c>
      <c r="X269" s="350">
        <v>5</v>
      </c>
    </row>
    <row r="270" spans="1:24" ht="179.4" x14ac:dyDescent="0.3">
      <c r="A270" s="349" t="s">
        <v>743</v>
      </c>
      <c r="B270" s="349" t="s">
        <v>974</v>
      </c>
      <c r="C270" s="350">
        <v>0</v>
      </c>
      <c r="D270" s="350">
        <v>0</v>
      </c>
      <c r="E270" s="350">
        <v>0</v>
      </c>
      <c r="F270" s="350">
        <v>0</v>
      </c>
      <c r="G270" s="350">
        <v>0</v>
      </c>
      <c r="H270" s="350">
        <v>0</v>
      </c>
      <c r="I270" s="350">
        <v>0</v>
      </c>
      <c r="J270" s="350">
        <v>1</v>
      </c>
      <c r="K270" s="351"/>
      <c r="L270" s="349" t="s">
        <v>9</v>
      </c>
      <c r="M270" s="351"/>
      <c r="N270" s="351"/>
      <c r="O270" s="349" t="s">
        <v>1632</v>
      </c>
      <c r="P270" s="349" t="s">
        <v>1632</v>
      </c>
      <c r="Q270" s="349" t="s">
        <v>1633</v>
      </c>
      <c r="R270" s="351"/>
      <c r="S270" s="349" t="s">
        <v>1634</v>
      </c>
      <c r="T270" s="349" t="s">
        <v>1635</v>
      </c>
      <c r="U270" s="349" t="s">
        <v>148</v>
      </c>
      <c r="V270" s="351"/>
      <c r="W270" s="349" t="s">
        <v>41</v>
      </c>
      <c r="X270" s="350">
        <v>5</v>
      </c>
    </row>
    <row r="271" spans="1:24" ht="165.6" x14ac:dyDescent="0.25">
      <c r="A271" s="349" t="s">
        <v>744</v>
      </c>
      <c r="B271" s="349" t="s">
        <v>745</v>
      </c>
      <c r="C271" s="350">
        <v>0</v>
      </c>
      <c r="D271" s="350">
        <v>0</v>
      </c>
      <c r="E271" s="350">
        <v>0</v>
      </c>
      <c r="F271" s="350">
        <v>0</v>
      </c>
      <c r="G271" s="350">
        <v>0</v>
      </c>
      <c r="H271" s="350">
        <v>0</v>
      </c>
      <c r="I271" s="350">
        <v>0</v>
      </c>
      <c r="J271" s="350">
        <v>1</v>
      </c>
      <c r="K271" s="351"/>
      <c r="L271" s="349" t="s">
        <v>9</v>
      </c>
      <c r="M271" s="351"/>
      <c r="N271" s="351"/>
      <c r="O271" s="351"/>
      <c r="P271" s="349" t="s">
        <v>1636</v>
      </c>
      <c r="Q271" s="349" t="s">
        <v>1637</v>
      </c>
      <c r="R271" s="349" t="s">
        <v>1567</v>
      </c>
      <c r="S271" s="349" t="s">
        <v>1638</v>
      </c>
      <c r="T271" s="354"/>
      <c r="U271" s="349" t="s">
        <v>40</v>
      </c>
      <c r="V271" s="351"/>
      <c r="W271" s="349" t="s">
        <v>41</v>
      </c>
      <c r="X271" s="350">
        <v>5</v>
      </c>
    </row>
    <row r="272" spans="1:24" ht="124.2" x14ac:dyDescent="0.25">
      <c r="A272" s="349" t="s">
        <v>746</v>
      </c>
      <c r="B272" s="349" t="s">
        <v>747</v>
      </c>
      <c r="C272" s="350">
        <v>0</v>
      </c>
      <c r="D272" s="350">
        <v>0</v>
      </c>
      <c r="E272" s="350">
        <v>0</v>
      </c>
      <c r="F272" s="350">
        <v>0</v>
      </c>
      <c r="G272" s="350">
        <v>0</v>
      </c>
      <c r="H272" s="350">
        <v>0</v>
      </c>
      <c r="I272" s="350">
        <v>0</v>
      </c>
      <c r="J272" s="350">
        <v>1</v>
      </c>
      <c r="K272" s="351"/>
      <c r="L272" s="349" t="s">
        <v>9</v>
      </c>
      <c r="M272" s="351"/>
      <c r="N272" s="351"/>
      <c r="O272" s="354"/>
      <c r="P272" s="349" t="s">
        <v>1639</v>
      </c>
      <c r="Q272" s="349" t="s">
        <v>748</v>
      </c>
      <c r="R272" s="351"/>
      <c r="S272" s="349" t="s">
        <v>1894</v>
      </c>
      <c r="T272" s="351"/>
      <c r="U272" s="349" t="s">
        <v>40</v>
      </c>
      <c r="V272" s="351"/>
      <c r="W272" s="349" t="s">
        <v>41</v>
      </c>
      <c r="X272" s="350">
        <v>5</v>
      </c>
    </row>
    <row r="273" spans="1:24" ht="92.4" x14ac:dyDescent="0.3">
      <c r="A273" s="362" t="s">
        <v>749</v>
      </c>
      <c r="B273" s="362" t="s">
        <v>1640</v>
      </c>
      <c r="C273" s="350">
        <v>0</v>
      </c>
      <c r="D273" s="350">
        <v>0</v>
      </c>
      <c r="E273" s="350">
        <v>0</v>
      </c>
      <c r="F273" s="350">
        <v>0</v>
      </c>
      <c r="G273" s="350">
        <v>0</v>
      </c>
      <c r="H273" s="350">
        <v>0</v>
      </c>
      <c r="I273" s="350">
        <v>0</v>
      </c>
      <c r="J273" s="350">
        <v>1</v>
      </c>
      <c r="K273" s="351"/>
      <c r="L273" s="349" t="s">
        <v>9</v>
      </c>
      <c r="M273" s="351"/>
      <c r="N273" s="351"/>
      <c r="O273" s="351"/>
      <c r="P273" s="349" t="s">
        <v>1641</v>
      </c>
      <c r="Q273" s="349" t="s">
        <v>1642</v>
      </c>
      <c r="R273" s="351"/>
      <c r="S273" s="351" t="s">
        <v>1823</v>
      </c>
      <c r="T273" s="351" t="s">
        <v>1824</v>
      </c>
      <c r="U273" s="349" t="s">
        <v>148</v>
      </c>
      <c r="V273" s="351"/>
      <c r="W273" s="349" t="s">
        <v>46</v>
      </c>
      <c r="X273" s="350">
        <v>20</v>
      </c>
    </row>
    <row r="274" spans="1:24" ht="96.6" x14ac:dyDescent="0.3">
      <c r="A274" s="349" t="s">
        <v>750</v>
      </c>
      <c r="B274" s="349" t="s">
        <v>751</v>
      </c>
      <c r="C274" s="350">
        <v>0</v>
      </c>
      <c r="D274" s="350">
        <v>0</v>
      </c>
      <c r="E274" s="350">
        <v>0</v>
      </c>
      <c r="F274" s="350">
        <v>0</v>
      </c>
      <c r="G274" s="350">
        <v>0</v>
      </c>
      <c r="H274" s="350">
        <v>0</v>
      </c>
      <c r="I274" s="350">
        <v>0</v>
      </c>
      <c r="J274" s="350">
        <v>1</v>
      </c>
      <c r="K274" s="351"/>
      <c r="L274" s="349" t="s">
        <v>9</v>
      </c>
      <c r="M274" s="351"/>
      <c r="N274" s="351"/>
      <c r="O274" s="349" t="s">
        <v>1643</v>
      </c>
      <c r="P274" s="349" t="s">
        <v>1644</v>
      </c>
      <c r="Q274" s="349" t="s">
        <v>1645</v>
      </c>
      <c r="R274" s="351"/>
      <c r="S274" s="349" t="s">
        <v>1646</v>
      </c>
      <c r="T274" s="351"/>
      <c r="U274" s="349" t="s">
        <v>40</v>
      </c>
      <c r="V274" s="351"/>
      <c r="W274" s="349" t="s">
        <v>41</v>
      </c>
      <c r="X274" s="350">
        <v>5</v>
      </c>
    </row>
    <row r="275" spans="1:24" ht="96.6" x14ac:dyDescent="0.3">
      <c r="A275" s="349" t="s">
        <v>752</v>
      </c>
      <c r="B275" s="349" t="s">
        <v>753</v>
      </c>
      <c r="C275" s="350">
        <v>0</v>
      </c>
      <c r="D275" s="350">
        <v>0</v>
      </c>
      <c r="E275" s="350">
        <v>0</v>
      </c>
      <c r="F275" s="350">
        <v>0</v>
      </c>
      <c r="G275" s="350">
        <v>0</v>
      </c>
      <c r="H275" s="350">
        <v>0</v>
      </c>
      <c r="I275" s="350">
        <v>0</v>
      </c>
      <c r="J275" s="350">
        <v>1</v>
      </c>
      <c r="K275" s="349"/>
      <c r="L275" s="349" t="s">
        <v>9</v>
      </c>
      <c r="M275" s="351"/>
      <c r="N275" s="351"/>
      <c r="O275" s="349" t="s">
        <v>1647</v>
      </c>
      <c r="P275" s="351"/>
      <c r="Q275" s="349" t="s">
        <v>754</v>
      </c>
      <c r="R275" s="351"/>
      <c r="S275" s="349" t="s">
        <v>1648</v>
      </c>
      <c r="T275" s="349" t="s">
        <v>1649</v>
      </c>
      <c r="U275" s="349" t="s">
        <v>148</v>
      </c>
      <c r="V275" s="351"/>
      <c r="W275" s="349" t="s">
        <v>75</v>
      </c>
      <c r="X275" s="350">
        <v>10</v>
      </c>
    </row>
    <row r="276" spans="1:24" ht="55.2" x14ac:dyDescent="0.3">
      <c r="A276" s="349" t="s">
        <v>755</v>
      </c>
      <c r="B276" s="349" t="s">
        <v>1128</v>
      </c>
      <c r="C276" s="350">
        <v>0</v>
      </c>
      <c r="D276" s="350">
        <v>0</v>
      </c>
      <c r="E276" s="350">
        <v>0</v>
      </c>
      <c r="F276" s="350">
        <v>0</v>
      </c>
      <c r="G276" s="350">
        <v>0</v>
      </c>
      <c r="H276" s="350">
        <v>0</v>
      </c>
      <c r="I276" s="350">
        <v>0</v>
      </c>
      <c r="J276" s="350">
        <v>1</v>
      </c>
      <c r="K276" s="349"/>
      <c r="L276" s="349" t="s">
        <v>9</v>
      </c>
      <c r="M276" s="351"/>
      <c r="N276" s="351"/>
      <c r="O276" s="349" t="s">
        <v>1650</v>
      </c>
      <c r="P276" s="349" t="s">
        <v>1644</v>
      </c>
      <c r="Q276" s="349" t="s">
        <v>756</v>
      </c>
      <c r="R276" s="351"/>
      <c r="S276" s="349" t="s">
        <v>1651</v>
      </c>
      <c r="T276" s="351"/>
      <c r="U276" s="349" t="s">
        <v>40</v>
      </c>
      <c r="V276" s="351"/>
      <c r="W276" s="349" t="s">
        <v>75</v>
      </c>
      <c r="X276" s="350">
        <v>10</v>
      </c>
    </row>
    <row r="277" spans="1:24" ht="55.2" x14ac:dyDescent="0.3">
      <c r="A277" s="349" t="s">
        <v>757</v>
      </c>
      <c r="B277" s="349" t="s">
        <v>758</v>
      </c>
      <c r="C277" s="350">
        <v>0</v>
      </c>
      <c r="D277" s="350">
        <v>0</v>
      </c>
      <c r="E277" s="350">
        <v>0</v>
      </c>
      <c r="F277" s="350">
        <v>0</v>
      </c>
      <c r="G277" s="350">
        <v>0</v>
      </c>
      <c r="H277" s="350">
        <v>0</v>
      </c>
      <c r="I277" s="350">
        <v>0</v>
      </c>
      <c r="J277" s="350">
        <v>1</v>
      </c>
      <c r="K277" s="349"/>
      <c r="L277" s="349" t="s">
        <v>9</v>
      </c>
      <c r="M277" s="351"/>
      <c r="N277" s="351"/>
      <c r="O277" s="349" t="s">
        <v>1652</v>
      </c>
      <c r="P277" s="349" t="s">
        <v>1644</v>
      </c>
      <c r="Q277" s="351"/>
      <c r="R277" s="351"/>
      <c r="S277" s="349" t="s">
        <v>1653</v>
      </c>
      <c r="T277" s="351"/>
      <c r="U277" s="349" t="s">
        <v>40</v>
      </c>
      <c r="V277" s="351"/>
      <c r="W277" s="349" t="s">
        <v>75</v>
      </c>
      <c r="X277" s="350">
        <v>10</v>
      </c>
    </row>
    <row r="278" spans="1:24" ht="96.6" x14ac:dyDescent="0.3">
      <c r="A278" s="349" t="s">
        <v>759</v>
      </c>
      <c r="B278" s="349" t="s">
        <v>760</v>
      </c>
      <c r="C278" s="350">
        <v>0</v>
      </c>
      <c r="D278" s="350">
        <v>0</v>
      </c>
      <c r="E278" s="350">
        <v>0</v>
      </c>
      <c r="F278" s="350">
        <v>0</v>
      </c>
      <c r="G278" s="350">
        <v>0</v>
      </c>
      <c r="H278" s="350">
        <v>0</v>
      </c>
      <c r="I278" s="350">
        <v>0</v>
      </c>
      <c r="J278" s="350">
        <v>1</v>
      </c>
      <c r="K278" s="349"/>
      <c r="L278" s="349" t="s">
        <v>9</v>
      </c>
      <c r="M278" s="351"/>
      <c r="N278" s="351"/>
      <c r="O278" s="349" t="s">
        <v>1654</v>
      </c>
      <c r="P278" s="349" t="s">
        <v>1654</v>
      </c>
      <c r="Q278" s="349" t="s">
        <v>761</v>
      </c>
      <c r="R278" s="351"/>
      <c r="S278" s="349" t="s">
        <v>1655</v>
      </c>
      <c r="T278" s="349" t="s">
        <v>1656</v>
      </c>
      <c r="U278" s="349" t="s">
        <v>148</v>
      </c>
      <c r="V278" s="351"/>
      <c r="W278" s="349" t="s">
        <v>75</v>
      </c>
      <c r="X278" s="350">
        <v>10</v>
      </c>
    </row>
    <row r="279" spans="1:24" ht="55.2" x14ac:dyDescent="0.3">
      <c r="A279" s="349" t="s">
        <v>762</v>
      </c>
      <c r="B279" s="349" t="s">
        <v>763</v>
      </c>
      <c r="C279" s="350">
        <v>0</v>
      </c>
      <c r="D279" s="350">
        <v>0</v>
      </c>
      <c r="E279" s="350">
        <v>0</v>
      </c>
      <c r="F279" s="350">
        <v>0</v>
      </c>
      <c r="G279" s="350">
        <v>0</v>
      </c>
      <c r="H279" s="350">
        <v>0</v>
      </c>
      <c r="I279" s="350">
        <v>0</v>
      </c>
      <c r="J279" s="350">
        <v>1</v>
      </c>
      <c r="K279" s="349"/>
      <c r="L279" s="349" t="s">
        <v>9</v>
      </c>
      <c r="M279" s="351"/>
      <c r="N279" s="351"/>
      <c r="O279" s="349" t="s">
        <v>1657</v>
      </c>
      <c r="P279" s="349" t="s">
        <v>1644</v>
      </c>
      <c r="Q279" s="351"/>
      <c r="R279" s="348" t="s">
        <v>1528</v>
      </c>
      <c r="S279" s="349" t="s">
        <v>1658</v>
      </c>
      <c r="T279" s="351"/>
      <c r="U279" s="349" t="s">
        <v>40</v>
      </c>
      <c r="V279" s="351"/>
      <c r="W279" s="349" t="s">
        <v>75</v>
      </c>
      <c r="X279" s="350">
        <v>10</v>
      </c>
    </row>
    <row r="280" spans="1:24" ht="92.4" x14ac:dyDescent="0.3">
      <c r="A280" s="349" t="s">
        <v>1035</v>
      </c>
      <c r="B280" s="349" t="s">
        <v>1868</v>
      </c>
      <c r="C280" s="350">
        <v>0</v>
      </c>
      <c r="D280" s="350">
        <v>0</v>
      </c>
      <c r="E280" s="350">
        <v>0</v>
      </c>
      <c r="F280" s="350">
        <v>0</v>
      </c>
      <c r="G280" s="350">
        <v>0</v>
      </c>
      <c r="H280" s="350">
        <v>0</v>
      </c>
      <c r="I280" s="350">
        <v>0</v>
      </c>
      <c r="J280" s="350">
        <v>1</v>
      </c>
      <c r="K280" s="351"/>
      <c r="L280" s="349" t="s">
        <v>9</v>
      </c>
      <c r="M280" s="351"/>
      <c r="N280" s="351"/>
      <c r="O280" s="351"/>
      <c r="P280" s="349" t="s">
        <v>1659</v>
      </c>
      <c r="Q280" s="349" t="s">
        <v>1660</v>
      </c>
      <c r="R280" s="351"/>
      <c r="S280" s="351" t="s">
        <v>1825</v>
      </c>
      <c r="T280" s="351" t="s">
        <v>1826</v>
      </c>
      <c r="U280" s="349" t="s">
        <v>40</v>
      </c>
      <c r="V280" s="351"/>
      <c r="W280" s="349" t="s">
        <v>75</v>
      </c>
      <c r="X280" s="350">
        <v>10</v>
      </c>
    </row>
    <row r="281" spans="1:24" ht="79.2" x14ac:dyDescent="0.3">
      <c r="A281" s="349" t="s">
        <v>1036</v>
      </c>
      <c r="B281" s="349" t="s">
        <v>764</v>
      </c>
      <c r="C281" s="350">
        <v>0</v>
      </c>
      <c r="D281" s="350">
        <v>0</v>
      </c>
      <c r="E281" s="350">
        <v>0</v>
      </c>
      <c r="F281" s="350">
        <v>0</v>
      </c>
      <c r="G281" s="350">
        <v>0</v>
      </c>
      <c r="H281" s="350">
        <v>0</v>
      </c>
      <c r="I281" s="350">
        <v>0</v>
      </c>
      <c r="J281" s="350">
        <v>1</v>
      </c>
      <c r="K281" s="351"/>
      <c r="L281" s="349" t="s">
        <v>9</v>
      </c>
      <c r="M281" s="351"/>
      <c r="N281" s="351"/>
      <c r="O281" s="351"/>
      <c r="P281" s="349" t="s">
        <v>1644</v>
      </c>
      <c r="Q281" s="349" t="s">
        <v>1661</v>
      </c>
      <c r="R281" s="351"/>
      <c r="S281" s="351" t="s">
        <v>1827</v>
      </c>
      <c r="T281" s="349" t="s">
        <v>1662</v>
      </c>
      <c r="U281" s="349" t="s">
        <v>40</v>
      </c>
      <c r="V281" s="351"/>
      <c r="W281" s="349" t="s">
        <v>75</v>
      </c>
      <c r="X281" s="350">
        <v>10</v>
      </c>
    </row>
    <row r="282" spans="1:24" ht="92.4" x14ac:dyDescent="0.3">
      <c r="A282" s="349" t="s">
        <v>1037</v>
      </c>
      <c r="B282" s="349" t="s">
        <v>765</v>
      </c>
      <c r="C282" s="350">
        <v>0</v>
      </c>
      <c r="D282" s="350">
        <v>0</v>
      </c>
      <c r="E282" s="350">
        <v>0</v>
      </c>
      <c r="F282" s="350">
        <v>0</v>
      </c>
      <c r="G282" s="350">
        <v>0</v>
      </c>
      <c r="H282" s="350">
        <v>0</v>
      </c>
      <c r="I282" s="350">
        <v>0</v>
      </c>
      <c r="J282" s="350">
        <v>1</v>
      </c>
      <c r="K282" s="351"/>
      <c r="L282" s="349" t="s">
        <v>9</v>
      </c>
      <c r="M282" s="351"/>
      <c r="N282" s="351"/>
      <c r="O282" s="351"/>
      <c r="P282" s="349" t="s">
        <v>1644</v>
      </c>
      <c r="Q282" s="349" t="s">
        <v>1660</v>
      </c>
      <c r="R282" s="356" t="s">
        <v>1848</v>
      </c>
      <c r="S282" s="351" t="s">
        <v>1828</v>
      </c>
      <c r="T282" s="351" t="s">
        <v>1829</v>
      </c>
      <c r="U282" s="349" t="s">
        <v>40</v>
      </c>
      <c r="V282" s="351"/>
      <c r="W282" s="349" t="s">
        <v>75</v>
      </c>
      <c r="X282" s="350">
        <v>10</v>
      </c>
    </row>
    <row r="283" spans="1:24" ht="124.2" x14ac:dyDescent="0.3">
      <c r="A283" s="349" t="s">
        <v>1038</v>
      </c>
      <c r="B283" s="349" t="s">
        <v>1476</v>
      </c>
      <c r="C283" s="350">
        <v>0</v>
      </c>
      <c r="D283" s="350">
        <v>0</v>
      </c>
      <c r="E283" s="350">
        <v>0</v>
      </c>
      <c r="F283" s="350">
        <v>0</v>
      </c>
      <c r="G283" s="350">
        <v>0</v>
      </c>
      <c r="H283" s="350">
        <v>0</v>
      </c>
      <c r="I283" s="350">
        <v>0</v>
      </c>
      <c r="J283" s="350">
        <v>1</v>
      </c>
      <c r="K283" s="351"/>
      <c r="L283" s="349" t="s">
        <v>9</v>
      </c>
      <c r="M283" s="351"/>
      <c r="N283" s="351"/>
      <c r="O283" s="349" t="s">
        <v>1663</v>
      </c>
      <c r="P283" s="349" t="s">
        <v>1644</v>
      </c>
      <c r="Q283" s="349" t="s">
        <v>1664</v>
      </c>
      <c r="R283" s="356" t="s">
        <v>1849</v>
      </c>
      <c r="S283" s="349" t="s">
        <v>1895</v>
      </c>
      <c r="T283" s="351"/>
      <c r="U283" s="349" t="s">
        <v>40</v>
      </c>
      <c r="V283" s="351"/>
      <c r="W283" s="349" t="s">
        <v>75</v>
      </c>
      <c r="X283" s="350">
        <v>10</v>
      </c>
    </row>
    <row r="284" spans="1:24" ht="92.4" x14ac:dyDescent="0.3">
      <c r="A284" s="349" t="s">
        <v>1039</v>
      </c>
      <c r="B284" s="349" t="s">
        <v>766</v>
      </c>
      <c r="C284" s="350">
        <v>0</v>
      </c>
      <c r="D284" s="350">
        <v>0</v>
      </c>
      <c r="E284" s="350">
        <v>0</v>
      </c>
      <c r="F284" s="350">
        <v>0</v>
      </c>
      <c r="G284" s="350">
        <v>0</v>
      </c>
      <c r="H284" s="350">
        <v>0</v>
      </c>
      <c r="I284" s="350">
        <v>0</v>
      </c>
      <c r="J284" s="350">
        <v>1</v>
      </c>
      <c r="K284" s="351"/>
      <c r="L284" s="349" t="s">
        <v>9</v>
      </c>
      <c r="M284" s="351"/>
      <c r="N284" s="351"/>
      <c r="O284" s="351"/>
      <c r="P284" s="349" t="s">
        <v>1644</v>
      </c>
      <c r="Q284" s="349" t="s">
        <v>1660</v>
      </c>
      <c r="R284" s="356" t="s">
        <v>1850</v>
      </c>
      <c r="S284" s="351" t="s">
        <v>1830</v>
      </c>
      <c r="T284" s="351" t="s">
        <v>1831</v>
      </c>
      <c r="U284" s="349" t="s">
        <v>40</v>
      </c>
      <c r="V284" s="351"/>
      <c r="W284" s="349" t="s">
        <v>75</v>
      </c>
      <c r="X284" s="350">
        <v>10</v>
      </c>
    </row>
    <row r="285" spans="1:24" ht="96.6" x14ac:dyDescent="0.25">
      <c r="A285" s="349" t="s">
        <v>1040</v>
      </c>
      <c r="B285" s="349" t="s">
        <v>767</v>
      </c>
      <c r="C285" s="350">
        <v>0</v>
      </c>
      <c r="D285" s="350">
        <v>0</v>
      </c>
      <c r="E285" s="350">
        <v>0</v>
      </c>
      <c r="F285" s="350">
        <v>0</v>
      </c>
      <c r="G285" s="350">
        <v>0</v>
      </c>
      <c r="H285" s="350">
        <v>0</v>
      </c>
      <c r="I285" s="350">
        <v>0</v>
      </c>
      <c r="J285" s="350">
        <v>1</v>
      </c>
      <c r="K285" s="351"/>
      <c r="L285" s="349" t="s">
        <v>9</v>
      </c>
      <c r="M285" s="351"/>
      <c r="N285" s="351"/>
      <c r="O285" s="351"/>
      <c r="P285" s="349" t="s">
        <v>1665</v>
      </c>
      <c r="Q285" s="354"/>
      <c r="R285" s="356" t="s">
        <v>1851</v>
      </c>
      <c r="S285" s="349" t="s">
        <v>1666</v>
      </c>
      <c r="T285" s="351"/>
      <c r="U285" s="349" t="s">
        <v>40</v>
      </c>
      <c r="V285" s="351"/>
      <c r="W285" s="349" t="s">
        <v>75</v>
      </c>
      <c r="X285" s="350">
        <v>10</v>
      </c>
    </row>
    <row r="286" spans="1:24" ht="207" x14ac:dyDescent="0.3">
      <c r="A286" s="349" t="s">
        <v>1041</v>
      </c>
      <c r="B286" s="349" t="s">
        <v>1129</v>
      </c>
      <c r="C286" s="350">
        <v>0</v>
      </c>
      <c r="D286" s="350">
        <v>0</v>
      </c>
      <c r="E286" s="350">
        <v>0</v>
      </c>
      <c r="F286" s="350">
        <v>0</v>
      </c>
      <c r="G286" s="350">
        <v>0</v>
      </c>
      <c r="H286" s="350">
        <v>0</v>
      </c>
      <c r="I286" s="350">
        <v>0</v>
      </c>
      <c r="J286" s="350">
        <v>1</v>
      </c>
      <c r="K286" s="351"/>
      <c r="L286" s="349" t="s">
        <v>9</v>
      </c>
      <c r="M286" s="351"/>
      <c r="N286" s="351"/>
      <c r="O286" s="349" t="s">
        <v>1896</v>
      </c>
      <c r="P286" s="349" t="s">
        <v>1896</v>
      </c>
      <c r="Q286" s="349" t="s">
        <v>1896</v>
      </c>
      <c r="R286" s="356" t="s">
        <v>1852</v>
      </c>
      <c r="S286" s="349" t="s">
        <v>1897</v>
      </c>
      <c r="T286" s="351"/>
      <c r="U286" s="349" t="s">
        <v>40</v>
      </c>
      <c r="V286" s="351"/>
      <c r="W286" s="349" t="s">
        <v>75</v>
      </c>
      <c r="X286" s="350">
        <v>10</v>
      </c>
    </row>
    <row r="287" spans="1:24" ht="79.2" x14ac:dyDescent="0.3">
      <c r="A287" s="349" t="s">
        <v>1042</v>
      </c>
      <c r="B287" s="349" t="s">
        <v>1477</v>
      </c>
      <c r="C287" s="350">
        <v>0</v>
      </c>
      <c r="D287" s="350">
        <v>0</v>
      </c>
      <c r="E287" s="350">
        <v>0</v>
      </c>
      <c r="F287" s="350">
        <v>0</v>
      </c>
      <c r="G287" s="350">
        <v>0</v>
      </c>
      <c r="H287" s="350">
        <v>0</v>
      </c>
      <c r="I287" s="350">
        <v>0</v>
      </c>
      <c r="J287" s="350">
        <v>1</v>
      </c>
      <c r="K287" s="351"/>
      <c r="L287" s="349" t="s">
        <v>9</v>
      </c>
      <c r="M287" s="351"/>
      <c r="N287" s="351"/>
      <c r="O287" s="351"/>
      <c r="P287" s="351"/>
      <c r="Q287" s="351"/>
      <c r="R287" s="356" t="s">
        <v>1853</v>
      </c>
      <c r="S287" s="351" t="s">
        <v>1832</v>
      </c>
      <c r="T287" s="351" t="s">
        <v>1833</v>
      </c>
      <c r="U287" s="349" t="s">
        <v>40</v>
      </c>
      <c r="V287" s="351"/>
      <c r="W287" s="349" t="s">
        <v>75</v>
      </c>
      <c r="X287" s="350">
        <v>10</v>
      </c>
    </row>
    <row r="288" spans="1:24" ht="79.2" x14ac:dyDescent="0.3">
      <c r="A288" s="349" t="s">
        <v>1043</v>
      </c>
      <c r="B288" s="349" t="s">
        <v>768</v>
      </c>
      <c r="C288" s="350">
        <v>0</v>
      </c>
      <c r="D288" s="350">
        <v>0</v>
      </c>
      <c r="E288" s="350">
        <v>0</v>
      </c>
      <c r="F288" s="350">
        <v>0</v>
      </c>
      <c r="G288" s="350">
        <v>0</v>
      </c>
      <c r="H288" s="350">
        <v>0</v>
      </c>
      <c r="I288" s="350">
        <v>0</v>
      </c>
      <c r="J288" s="350">
        <v>1</v>
      </c>
      <c r="K288" s="351"/>
      <c r="L288" s="349" t="s">
        <v>9</v>
      </c>
      <c r="M288" s="351"/>
      <c r="N288" s="351"/>
      <c r="O288" s="351"/>
      <c r="P288" s="351"/>
      <c r="Q288" s="351"/>
      <c r="R288" s="356" t="s">
        <v>1854</v>
      </c>
      <c r="S288" s="351" t="s">
        <v>1834</v>
      </c>
      <c r="T288" s="351" t="s">
        <v>1835</v>
      </c>
      <c r="U288" s="349" t="s">
        <v>40</v>
      </c>
      <c r="V288" s="351"/>
      <c r="W288" s="349" t="s">
        <v>75</v>
      </c>
      <c r="X288" s="350">
        <v>10</v>
      </c>
    </row>
    <row r="289" spans="1:24" ht="105.6" x14ac:dyDescent="0.3">
      <c r="A289" s="349" t="s">
        <v>1044</v>
      </c>
      <c r="B289" s="349" t="s">
        <v>1478</v>
      </c>
      <c r="C289" s="350">
        <v>0</v>
      </c>
      <c r="D289" s="350">
        <v>0</v>
      </c>
      <c r="E289" s="350">
        <v>0</v>
      </c>
      <c r="F289" s="350">
        <v>0</v>
      </c>
      <c r="G289" s="350">
        <v>0</v>
      </c>
      <c r="H289" s="350">
        <v>0</v>
      </c>
      <c r="I289" s="350">
        <v>0</v>
      </c>
      <c r="J289" s="350">
        <v>1</v>
      </c>
      <c r="K289" s="351"/>
      <c r="L289" s="349" t="s">
        <v>9</v>
      </c>
      <c r="M289" s="351"/>
      <c r="N289" s="351"/>
      <c r="O289" s="351"/>
      <c r="P289" s="351"/>
      <c r="Q289" s="351"/>
      <c r="R289" s="356" t="s">
        <v>1855</v>
      </c>
      <c r="S289" s="351" t="s">
        <v>1836</v>
      </c>
      <c r="T289" s="351" t="s">
        <v>1837</v>
      </c>
      <c r="U289" s="349" t="s">
        <v>40</v>
      </c>
      <c r="V289" s="351"/>
      <c r="W289" s="349" t="s">
        <v>75</v>
      </c>
      <c r="X289" s="350">
        <v>10</v>
      </c>
    </row>
    <row r="290" spans="1:24" ht="92.4" x14ac:dyDescent="0.25">
      <c r="A290" s="349" t="s">
        <v>1045</v>
      </c>
      <c r="B290" s="349" t="s">
        <v>769</v>
      </c>
      <c r="C290" s="350">
        <v>0</v>
      </c>
      <c r="D290" s="350">
        <v>0</v>
      </c>
      <c r="E290" s="350">
        <v>0</v>
      </c>
      <c r="F290" s="350">
        <v>0</v>
      </c>
      <c r="G290" s="350">
        <v>0</v>
      </c>
      <c r="H290" s="350">
        <v>0</v>
      </c>
      <c r="I290" s="350">
        <v>0</v>
      </c>
      <c r="J290" s="350">
        <v>1</v>
      </c>
      <c r="K290" s="351"/>
      <c r="L290" s="349" t="s">
        <v>9</v>
      </c>
      <c r="M290" s="351"/>
      <c r="N290" s="351"/>
      <c r="O290" s="354"/>
      <c r="P290" s="351"/>
      <c r="Q290" s="349" t="s">
        <v>1667</v>
      </c>
      <c r="R290" s="356" t="s">
        <v>1856</v>
      </c>
      <c r="S290" s="351" t="s">
        <v>1838</v>
      </c>
      <c r="T290" s="351" t="s">
        <v>1839</v>
      </c>
      <c r="U290" s="349" t="s">
        <v>40</v>
      </c>
      <c r="V290" s="351"/>
      <c r="W290" s="349" t="s">
        <v>75</v>
      </c>
      <c r="X290" s="350">
        <v>10</v>
      </c>
    </row>
    <row r="291" spans="1:24" ht="105.6" x14ac:dyDescent="0.3">
      <c r="A291" s="349" t="s">
        <v>1046</v>
      </c>
      <c r="B291" s="349" t="s">
        <v>770</v>
      </c>
      <c r="C291" s="350">
        <v>0</v>
      </c>
      <c r="D291" s="350">
        <v>0</v>
      </c>
      <c r="E291" s="350">
        <v>0</v>
      </c>
      <c r="F291" s="350">
        <v>0</v>
      </c>
      <c r="G291" s="350">
        <v>0</v>
      </c>
      <c r="H291" s="350">
        <v>0</v>
      </c>
      <c r="I291" s="350">
        <v>0</v>
      </c>
      <c r="J291" s="350">
        <v>1</v>
      </c>
      <c r="K291" s="351"/>
      <c r="L291" s="349" t="s">
        <v>9</v>
      </c>
      <c r="M291" s="351"/>
      <c r="N291" s="351"/>
      <c r="O291" s="351"/>
      <c r="P291" s="351"/>
      <c r="Q291" s="349" t="s">
        <v>1668</v>
      </c>
      <c r="R291" s="356" t="s">
        <v>1857</v>
      </c>
      <c r="S291" s="351" t="s">
        <v>1840</v>
      </c>
      <c r="T291" s="351" t="s">
        <v>1841</v>
      </c>
      <c r="U291" s="349" t="s">
        <v>40</v>
      </c>
      <c r="V291" s="351"/>
      <c r="W291" s="349" t="s">
        <v>75</v>
      </c>
      <c r="X291" s="350">
        <v>10</v>
      </c>
    </row>
    <row r="292" spans="1:24" ht="96.6" x14ac:dyDescent="0.3">
      <c r="A292" s="349" t="s">
        <v>1047</v>
      </c>
      <c r="B292" s="349" t="s">
        <v>1669</v>
      </c>
      <c r="C292" s="350">
        <v>0</v>
      </c>
      <c r="D292" s="350">
        <v>0</v>
      </c>
      <c r="E292" s="350">
        <v>0</v>
      </c>
      <c r="F292" s="350">
        <v>0</v>
      </c>
      <c r="G292" s="350">
        <v>0</v>
      </c>
      <c r="H292" s="350">
        <v>0</v>
      </c>
      <c r="I292" s="350">
        <v>0</v>
      </c>
      <c r="J292" s="350">
        <v>1</v>
      </c>
      <c r="K292" s="351"/>
      <c r="L292" s="349" t="s">
        <v>9</v>
      </c>
      <c r="M292" s="351"/>
      <c r="N292" s="351"/>
      <c r="O292" s="351"/>
      <c r="P292" s="351"/>
      <c r="Q292" s="349" t="s">
        <v>1670</v>
      </c>
      <c r="R292" s="356" t="s">
        <v>1858</v>
      </c>
      <c r="S292" s="351" t="s">
        <v>1842</v>
      </c>
      <c r="T292" s="351" t="s">
        <v>1843</v>
      </c>
      <c r="U292" s="349" t="s">
        <v>148</v>
      </c>
      <c r="V292" s="351"/>
      <c r="W292" s="349" t="s">
        <v>75</v>
      </c>
      <c r="X292" s="350">
        <v>10</v>
      </c>
    </row>
    <row r="293" spans="1:24" ht="234.6" x14ac:dyDescent="0.3">
      <c r="A293" s="349" t="s">
        <v>1048</v>
      </c>
      <c r="B293" s="349" t="s">
        <v>771</v>
      </c>
      <c r="C293" s="350">
        <v>0</v>
      </c>
      <c r="D293" s="350">
        <v>0</v>
      </c>
      <c r="E293" s="350">
        <v>0</v>
      </c>
      <c r="F293" s="350">
        <v>0</v>
      </c>
      <c r="G293" s="350">
        <v>0</v>
      </c>
      <c r="H293" s="350">
        <v>0</v>
      </c>
      <c r="I293" s="350">
        <v>0</v>
      </c>
      <c r="J293" s="350">
        <v>1</v>
      </c>
      <c r="K293" s="351"/>
      <c r="L293" s="349" t="s">
        <v>9</v>
      </c>
      <c r="M293" s="351"/>
      <c r="N293" s="351"/>
      <c r="O293" s="349" t="s">
        <v>1671</v>
      </c>
      <c r="P293" s="349" t="s">
        <v>1671</v>
      </c>
      <c r="Q293" s="349" t="s">
        <v>1672</v>
      </c>
      <c r="R293" s="356" t="s">
        <v>1859</v>
      </c>
      <c r="S293" s="349" t="s">
        <v>1898</v>
      </c>
      <c r="T293" s="349" t="s">
        <v>1899</v>
      </c>
      <c r="U293" s="349" t="s">
        <v>40</v>
      </c>
      <c r="V293" s="351"/>
      <c r="W293" s="349" t="s">
        <v>75</v>
      </c>
      <c r="X293" s="350">
        <v>10</v>
      </c>
    </row>
    <row r="294" spans="1:24" ht="165.6" x14ac:dyDescent="0.3">
      <c r="A294" s="349" t="s">
        <v>1049</v>
      </c>
      <c r="B294" s="349" t="s">
        <v>772</v>
      </c>
      <c r="C294" s="350">
        <v>0</v>
      </c>
      <c r="D294" s="350">
        <v>0</v>
      </c>
      <c r="E294" s="350">
        <v>0</v>
      </c>
      <c r="F294" s="350">
        <v>0</v>
      </c>
      <c r="G294" s="350">
        <v>0</v>
      </c>
      <c r="H294" s="350">
        <v>0</v>
      </c>
      <c r="I294" s="350">
        <v>0</v>
      </c>
      <c r="J294" s="350">
        <v>1</v>
      </c>
      <c r="K294" s="351"/>
      <c r="L294" s="349" t="s">
        <v>9</v>
      </c>
      <c r="M294" s="351"/>
      <c r="N294" s="351"/>
      <c r="O294" s="351"/>
      <c r="P294" s="351"/>
      <c r="Q294" s="349" t="s">
        <v>1673</v>
      </c>
      <c r="R294" s="351"/>
      <c r="S294" s="349" t="s">
        <v>1674</v>
      </c>
      <c r="T294" s="351"/>
      <c r="U294" s="349" t="s">
        <v>40</v>
      </c>
      <c r="V294" s="351"/>
      <c r="W294" s="349" t="s">
        <v>75</v>
      </c>
      <c r="X294" s="350">
        <v>10</v>
      </c>
    </row>
    <row r="295" spans="1:24" ht="124.2" x14ac:dyDescent="0.25">
      <c r="A295" s="349" t="s">
        <v>1050</v>
      </c>
      <c r="B295" s="349" t="s">
        <v>1130</v>
      </c>
      <c r="C295" s="350">
        <v>0</v>
      </c>
      <c r="D295" s="350">
        <v>0</v>
      </c>
      <c r="E295" s="350">
        <v>0</v>
      </c>
      <c r="F295" s="350">
        <v>0</v>
      </c>
      <c r="G295" s="350">
        <v>0</v>
      </c>
      <c r="H295" s="350">
        <v>0</v>
      </c>
      <c r="I295" s="350">
        <v>0</v>
      </c>
      <c r="J295" s="350">
        <v>1</v>
      </c>
      <c r="K295" s="349"/>
      <c r="L295" s="349" t="s">
        <v>9</v>
      </c>
      <c r="M295" s="351"/>
      <c r="N295" s="349" t="s">
        <v>1372</v>
      </c>
      <c r="O295" s="354"/>
      <c r="P295" s="349" t="s">
        <v>1675</v>
      </c>
      <c r="Q295" s="349" t="s">
        <v>1676</v>
      </c>
      <c r="R295" s="348" t="s">
        <v>1528</v>
      </c>
      <c r="S295" s="351" t="s">
        <v>1844</v>
      </c>
      <c r="T295" s="349" t="s">
        <v>1677</v>
      </c>
      <c r="U295" s="349" t="s">
        <v>148</v>
      </c>
      <c r="V295" s="351"/>
      <c r="W295" s="349" t="s">
        <v>75</v>
      </c>
      <c r="X295" s="350">
        <v>10</v>
      </c>
    </row>
    <row r="296" spans="1:24" ht="96.6" x14ac:dyDescent="0.3">
      <c r="A296" s="362" t="s">
        <v>1051</v>
      </c>
      <c r="B296" s="362" t="s">
        <v>1525</v>
      </c>
      <c r="C296" s="350">
        <v>0</v>
      </c>
      <c r="D296" s="350">
        <v>0</v>
      </c>
      <c r="E296" s="350">
        <v>0</v>
      </c>
      <c r="F296" s="350">
        <v>0</v>
      </c>
      <c r="G296" s="350">
        <v>0</v>
      </c>
      <c r="H296" s="350">
        <v>0</v>
      </c>
      <c r="I296" s="350">
        <v>0</v>
      </c>
      <c r="J296" s="350">
        <v>1</v>
      </c>
      <c r="K296" s="351"/>
      <c r="L296" s="349" t="s">
        <v>9</v>
      </c>
      <c r="M296" s="351"/>
      <c r="N296" s="349" t="s">
        <v>1372</v>
      </c>
      <c r="O296" s="351"/>
      <c r="P296" s="349" t="s">
        <v>1678</v>
      </c>
      <c r="Q296" s="349" t="s">
        <v>1679</v>
      </c>
      <c r="R296" s="348" t="s">
        <v>1528</v>
      </c>
      <c r="S296" s="349" t="s">
        <v>1680</v>
      </c>
      <c r="T296" s="349" t="s">
        <v>1681</v>
      </c>
      <c r="U296" s="349" t="s">
        <v>148</v>
      </c>
      <c r="V296" s="351"/>
      <c r="W296" s="349" t="s">
        <v>46</v>
      </c>
      <c r="X296" s="350">
        <v>20</v>
      </c>
    </row>
    <row r="297" spans="1:24" ht="110.4" x14ac:dyDescent="0.3">
      <c r="A297" s="362" t="s">
        <v>773</v>
      </c>
      <c r="B297" s="362" t="s">
        <v>1131</v>
      </c>
      <c r="C297" s="350">
        <v>0</v>
      </c>
      <c r="D297" s="350">
        <v>0</v>
      </c>
      <c r="E297" s="350">
        <v>0</v>
      </c>
      <c r="F297" s="350">
        <v>0</v>
      </c>
      <c r="G297" s="350">
        <v>0</v>
      </c>
      <c r="H297" s="350">
        <v>0</v>
      </c>
      <c r="I297" s="350">
        <v>0</v>
      </c>
      <c r="J297" s="350">
        <v>1</v>
      </c>
      <c r="K297" s="351"/>
      <c r="L297" s="349" t="s">
        <v>9</v>
      </c>
      <c r="M297" s="351"/>
      <c r="N297" s="349" t="s">
        <v>1372</v>
      </c>
      <c r="O297" s="351"/>
      <c r="P297" s="349" t="s">
        <v>1682</v>
      </c>
      <c r="Q297" s="349" t="s">
        <v>1683</v>
      </c>
      <c r="R297" s="348" t="s">
        <v>1528</v>
      </c>
      <c r="S297" s="349" t="s">
        <v>1684</v>
      </c>
      <c r="T297" s="349" t="s">
        <v>1685</v>
      </c>
      <c r="U297" s="349" t="s">
        <v>40</v>
      </c>
      <c r="V297" s="351"/>
      <c r="W297" s="349" t="s">
        <v>46</v>
      </c>
      <c r="X297" s="350">
        <v>20</v>
      </c>
    </row>
    <row r="298" spans="1:24" ht="96.6" x14ac:dyDescent="0.3">
      <c r="A298" s="349" t="s">
        <v>775</v>
      </c>
      <c r="B298" s="349" t="s">
        <v>1132</v>
      </c>
      <c r="C298" s="350">
        <v>0</v>
      </c>
      <c r="D298" s="350">
        <v>0</v>
      </c>
      <c r="E298" s="350">
        <v>0</v>
      </c>
      <c r="F298" s="350">
        <v>0</v>
      </c>
      <c r="G298" s="350">
        <v>0</v>
      </c>
      <c r="H298" s="350">
        <v>0</v>
      </c>
      <c r="I298" s="350">
        <v>0</v>
      </c>
      <c r="J298" s="350">
        <v>1</v>
      </c>
      <c r="K298" s="349"/>
      <c r="L298" s="349" t="s">
        <v>9</v>
      </c>
      <c r="M298" s="351"/>
      <c r="N298" s="349" t="s">
        <v>1372</v>
      </c>
      <c r="O298" s="351"/>
      <c r="P298" s="349" t="s">
        <v>1686</v>
      </c>
      <c r="Q298" s="349" t="s">
        <v>1687</v>
      </c>
      <c r="R298" s="348" t="s">
        <v>1528</v>
      </c>
      <c r="S298" s="349" t="s">
        <v>1688</v>
      </c>
      <c r="T298" s="349" t="s">
        <v>1689</v>
      </c>
      <c r="U298" s="349" t="s">
        <v>148</v>
      </c>
      <c r="V298" s="351"/>
      <c r="W298" s="349" t="s">
        <v>75</v>
      </c>
      <c r="X298" s="350">
        <v>10</v>
      </c>
    </row>
    <row r="299" spans="1:24" ht="110.4" x14ac:dyDescent="0.3">
      <c r="A299" s="349" t="s">
        <v>776</v>
      </c>
      <c r="B299" s="349" t="s">
        <v>774</v>
      </c>
      <c r="C299" s="350">
        <v>0</v>
      </c>
      <c r="D299" s="350">
        <v>0</v>
      </c>
      <c r="E299" s="350">
        <v>0</v>
      </c>
      <c r="F299" s="350">
        <v>0</v>
      </c>
      <c r="G299" s="350">
        <v>0</v>
      </c>
      <c r="H299" s="350">
        <v>0</v>
      </c>
      <c r="I299" s="350">
        <v>0</v>
      </c>
      <c r="J299" s="350">
        <v>1</v>
      </c>
      <c r="K299" s="349"/>
      <c r="L299" s="349" t="s">
        <v>9</v>
      </c>
      <c r="M299" s="351"/>
      <c r="N299" s="349" t="s">
        <v>1372</v>
      </c>
      <c r="O299" s="351"/>
      <c r="P299" s="349" t="s">
        <v>1690</v>
      </c>
      <c r="Q299" s="349" t="s">
        <v>1690</v>
      </c>
      <c r="R299" s="348" t="s">
        <v>1528</v>
      </c>
      <c r="S299" s="349" t="s">
        <v>1691</v>
      </c>
      <c r="T299" s="349" t="s">
        <v>1692</v>
      </c>
      <c r="U299" s="349" t="s">
        <v>40</v>
      </c>
      <c r="V299" s="351"/>
      <c r="W299" s="349" t="s">
        <v>41</v>
      </c>
      <c r="X299" s="350">
        <v>5</v>
      </c>
    </row>
    <row r="300" spans="1:24" ht="124.2" x14ac:dyDescent="0.3">
      <c r="A300" s="349" t="s">
        <v>778</v>
      </c>
      <c r="B300" s="349" t="s">
        <v>777</v>
      </c>
      <c r="C300" s="350">
        <v>0</v>
      </c>
      <c r="D300" s="350">
        <v>0</v>
      </c>
      <c r="E300" s="350">
        <v>0</v>
      </c>
      <c r="F300" s="350">
        <v>0</v>
      </c>
      <c r="G300" s="350">
        <v>0</v>
      </c>
      <c r="H300" s="350">
        <v>0</v>
      </c>
      <c r="I300" s="350">
        <v>0</v>
      </c>
      <c r="J300" s="350">
        <v>1</v>
      </c>
      <c r="K300" s="349"/>
      <c r="L300" s="349" t="s">
        <v>9</v>
      </c>
      <c r="M300" s="351"/>
      <c r="N300" s="349" t="s">
        <v>1372</v>
      </c>
      <c r="O300" s="349" t="s">
        <v>1693</v>
      </c>
      <c r="P300" s="349" t="s">
        <v>1693</v>
      </c>
      <c r="Q300" s="349" t="s">
        <v>1693</v>
      </c>
      <c r="R300" s="348" t="s">
        <v>1528</v>
      </c>
      <c r="S300" s="349" t="s">
        <v>1694</v>
      </c>
      <c r="T300" s="351"/>
      <c r="U300" s="349" t="s">
        <v>148</v>
      </c>
      <c r="V300" s="351"/>
      <c r="W300" s="349" t="s">
        <v>41</v>
      </c>
      <c r="X300" s="350">
        <v>5</v>
      </c>
    </row>
    <row r="301" spans="1:24" ht="193.2" x14ac:dyDescent="0.25">
      <c r="A301" s="349" t="s">
        <v>779</v>
      </c>
      <c r="B301" s="349" t="s">
        <v>1133</v>
      </c>
      <c r="C301" s="350">
        <v>0</v>
      </c>
      <c r="D301" s="350">
        <v>0</v>
      </c>
      <c r="E301" s="350">
        <v>0</v>
      </c>
      <c r="F301" s="350">
        <v>0</v>
      </c>
      <c r="G301" s="350">
        <v>0</v>
      </c>
      <c r="H301" s="350">
        <v>0</v>
      </c>
      <c r="I301" s="350">
        <v>0</v>
      </c>
      <c r="J301" s="350">
        <v>1</v>
      </c>
      <c r="K301" s="349"/>
      <c r="L301" s="349" t="s">
        <v>9</v>
      </c>
      <c r="M301" s="351"/>
      <c r="N301" s="349" t="s">
        <v>1372</v>
      </c>
      <c r="O301" s="351"/>
      <c r="P301" s="349" t="s">
        <v>1644</v>
      </c>
      <c r="Q301" s="349" t="s">
        <v>1695</v>
      </c>
      <c r="R301" s="348" t="s">
        <v>1528</v>
      </c>
      <c r="S301" s="353" t="s">
        <v>1696</v>
      </c>
      <c r="T301" s="351"/>
      <c r="U301" s="349" t="s">
        <v>40</v>
      </c>
      <c r="V301" s="351"/>
      <c r="W301" s="349" t="s">
        <v>41</v>
      </c>
      <c r="X301" s="350">
        <v>5</v>
      </c>
    </row>
    <row r="302" spans="1:24" ht="92.4" x14ac:dyDescent="0.3">
      <c r="A302" s="349" t="s">
        <v>780</v>
      </c>
      <c r="B302" s="349" t="s">
        <v>781</v>
      </c>
      <c r="C302" s="350">
        <v>0</v>
      </c>
      <c r="D302" s="350">
        <v>0</v>
      </c>
      <c r="E302" s="350">
        <v>0</v>
      </c>
      <c r="F302" s="350">
        <v>0</v>
      </c>
      <c r="G302" s="350">
        <v>0</v>
      </c>
      <c r="H302" s="350">
        <v>0</v>
      </c>
      <c r="I302" s="350">
        <v>0</v>
      </c>
      <c r="J302" s="350">
        <v>1</v>
      </c>
      <c r="K302" s="349"/>
      <c r="L302" s="349" t="s">
        <v>9</v>
      </c>
      <c r="M302" s="351"/>
      <c r="N302" s="349" t="s">
        <v>1372</v>
      </c>
      <c r="O302" s="351"/>
      <c r="P302" s="349" t="s">
        <v>1644</v>
      </c>
      <c r="Q302" s="349" t="s">
        <v>1697</v>
      </c>
      <c r="R302" s="348" t="s">
        <v>1528</v>
      </c>
      <c r="S302" s="351" t="s">
        <v>1845</v>
      </c>
      <c r="T302" s="351" t="s">
        <v>1846</v>
      </c>
      <c r="U302" s="349" t="s">
        <v>40</v>
      </c>
      <c r="V302" s="351"/>
      <c r="W302" s="349" t="s">
        <v>41</v>
      </c>
      <c r="X302" s="350">
        <v>5</v>
      </c>
    </row>
    <row r="303" spans="1:24" ht="96.6" x14ac:dyDescent="0.3">
      <c r="A303" s="225" t="s">
        <v>782</v>
      </c>
      <c r="B303" s="348" t="s">
        <v>1192</v>
      </c>
      <c r="C303" s="348">
        <v>0</v>
      </c>
      <c r="D303" s="348">
        <v>0</v>
      </c>
      <c r="E303" s="348">
        <v>0</v>
      </c>
      <c r="F303" s="348">
        <v>0</v>
      </c>
      <c r="G303" s="348">
        <v>0</v>
      </c>
      <c r="H303" s="348">
        <v>0</v>
      </c>
      <c r="I303" s="348">
        <v>1</v>
      </c>
      <c r="J303" s="348">
        <v>0</v>
      </c>
      <c r="K303" s="348" t="s">
        <v>22</v>
      </c>
      <c r="L303" s="348" t="s">
        <v>1004</v>
      </c>
      <c r="M303" s="348"/>
      <c r="N303" s="348" t="s">
        <v>1372</v>
      </c>
      <c r="O303" s="348" t="s">
        <v>1704</v>
      </c>
      <c r="P303" s="348" t="s">
        <v>1706</v>
      </c>
      <c r="Q303" s="348" t="s">
        <v>1705</v>
      </c>
      <c r="S303" s="348"/>
      <c r="T303" s="348"/>
      <c r="U303" s="348" t="s">
        <v>1004</v>
      </c>
      <c r="V303" s="348" t="s">
        <v>975</v>
      </c>
      <c r="W303" s="348"/>
      <c r="X303" s="348"/>
    </row>
    <row r="304" spans="1:24" ht="96.6" x14ac:dyDescent="0.3">
      <c r="A304" s="225" t="s">
        <v>783</v>
      </c>
      <c r="B304" s="348" t="s">
        <v>1193</v>
      </c>
      <c r="C304" s="348">
        <v>0</v>
      </c>
      <c r="D304" s="348">
        <v>0</v>
      </c>
      <c r="E304" s="348">
        <v>0</v>
      </c>
      <c r="F304" s="348">
        <v>0</v>
      </c>
      <c r="G304" s="348">
        <v>0</v>
      </c>
      <c r="H304" s="348">
        <v>0</v>
      </c>
      <c r="I304" s="348">
        <v>1</v>
      </c>
      <c r="J304" s="348">
        <v>0</v>
      </c>
      <c r="K304" s="348" t="s">
        <v>22</v>
      </c>
      <c r="L304" s="348" t="s">
        <v>1004</v>
      </c>
      <c r="M304" s="348"/>
      <c r="N304" s="348" t="s">
        <v>1372</v>
      </c>
      <c r="O304" s="348" t="s">
        <v>1707</v>
      </c>
      <c r="P304" s="348" t="s">
        <v>1709</v>
      </c>
      <c r="Q304" s="348" t="s">
        <v>1708</v>
      </c>
      <c r="S304" s="348"/>
      <c r="T304" s="348"/>
      <c r="U304" s="348" t="s">
        <v>1004</v>
      </c>
      <c r="V304" s="348" t="s">
        <v>975</v>
      </c>
      <c r="W304" s="348"/>
      <c r="X304" s="348"/>
    </row>
    <row r="305" spans="1:24" ht="110.4" x14ac:dyDescent="0.3">
      <c r="A305" s="361" t="s">
        <v>784</v>
      </c>
      <c r="B305" s="360" t="s">
        <v>1436</v>
      </c>
      <c r="C305" s="348">
        <v>0</v>
      </c>
      <c r="D305" s="348">
        <v>0</v>
      </c>
      <c r="E305" s="348">
        <v>0</v>
      </c>
      <c r="F305" s="348">
        <v>0</v>
      </c>
      <c r="G305" s="348">
        <v>0</v>
      </c>
      <c r="H305" s="348">
        <v>0</v>
      </c>
      <c r="I305" s="348">
        <v>1</v>
      </c>
      <c r="J305" s="348">
        <v>0</v>
      </c>
      <c r="K305" s="348"/>
      <c r="L305" s="348" t="s">
        <v>8</v>
      </c>
      <c r="M305" s="348"/>
      <c r="N305" s="348" t="s">
        <v>1372</v>
      </c>
      <c r="O305" s="348" t="s">
        <v>1710</v>
      </c>
      <c r="P305" s="348" t="s">
        <v>1712</v>
      </c>
      <c r="Q305" s="348" t="s">
        <v>1711</v>
      </c>
      <c r="R305" s="348"/>
      <c r="S305" s="348" t="s">
        <v>1713</v>
      </c>
      <c r="T305" s="348" t="s">
        <v>1714</v>
      </c>
      <c r="U305" s="348" t="s">
        <v>40</v>
      </c>
      <c r="V305" s="348" t="s">
        <v>975</v>
      </c>
      <c r="W305" s="348" t="s">
        <v>46</v>
      </c>
      <c r="X305" s="348">
        <f t="shared" ref="X305:X317" si="4">IF($W305="Critical Importance",20,IF($W305="Minor Importance",5,10))</f>
        <v>20</v>
      </c>
    </row>
    <row r="306" spans="1:24" ht="82.8" x14ac:dyDescent="0.3">
      <c r="A306" s="361" t="s">
        <v>785</v>
      </c>
      <c r="B306" s="360" t="s">
        <v>1194</v>
      </c>
      <c r="C306" s="348">
        <v>0</v>
      </c>
      <c r="D306" s="348">
        <v>0</v>
      </c>
      <c r="E306" s="348">
        <v>0</v>
      </c>
      <c r="F306" s="348">
        <v>0</v>
      </c>
      <c r="G306" s="348">
        <v>0</v>
      </c>
      <c r="H306" s="348">
        <v>0</v>
      </c>
      <c r="I306" s="348">
        <v>1</v>
      </c>
      <c r="J306" s="348">
        <v>0</v>
      </c>
      <c r="K306" s="348"/>
      <c r="L306" s="348" t="s">
        <v>8</v>
      </c>
      <c r="M306" s="348"/>
      <c r="N306" s="348" t="s">
        <v>1372</v>
      </c>
      <c r="O306" s="348"/>
      <c r="P306" s="348" t="s">
        <v>1716</v>
      </c>
      <c r="Q306" s="348" t="s">
        <v>1715</v>
      </c>
      <c r="R306" s="348" t="s">
        <v>1847</v>
      </c>
      <c r="S306" s="348" t="s">
        <v>1717</v>
      </c>
      <c r="T306" s="348" t="s">
        <v>1718</v>
      </c>
      <c r="U306" s="348" t="s">
        <v>40</v>
      </c>
      <c r="V306" s="348" t="s">
        <v>975</v>
      </c>
      <c r="W306" s="348" t="s">
        <v>46</v>
      </c>
      <c r="X306" s="348">
        <f t="shared" si="4"/>
        <v>20</v>
      </c>
    </row>
    <row r="307" spans="1:24" ht="110.4" x14ac:dyDescent="0.3">
      <c r="A307" s="361" t="s">
        <v>786</v>
      </c>
      <c r="B307" s="360" t="s">
        <v>1022</v>
      </c>
      <c r="C307" s="348">
        <v>0</v>
      </c>
      <c r="D307" s="348">
        <v>0</v>
      </c>
      <c r="E307" s="348">
        <v>0</v>
      </c>
      <c r="F307" s="348">
        <v>0</v>
      </c>
      <c r="G307" s="348">
        <v>0</v>
      </c>
      <c r="H307" s="348">
        <v>0</v>
      </c>
      <c r="I307" s="348">
        <v>1</v>
      </c>
      <c r="J307" s="348">
        <v>0</v>
      </c>
      <c r="K307" s="348"/>
      <c r="L307" s="348" t="s">
        <v>8</v>
      </c>
      <c r="M307" s="348"/>
      <c r="N307" s="348" t="s">
        <v>1372</v>
      </c>
      <c r="O307" s="348"/>
      <c r="P307" s="348" t="s">
        <v>1719</v>
      </c>
      <c r="Q307" s="348" t="s">
        <v>1900</v>
      </c>
      <c r="R307" s="348"/>
      <c r="S307" s="348" t="s">
        <v>1720</v>
      </c>
      <c r="T307" s="348" t="s">
        <v>1721</v>
      </c>
      <c r="U307" s="348" t="s">
        <v>40</v>
      </c>
      <c r="V307" s="348" t="s">
        <v>975</v>
      </c>
      <c r="W307" s="348" t="s">
        <v>46</v>
      </c>
      <c r="X307" s="348">
        <f t="shared" si="4"/>
        <v>20</v>
      </c>
    </row>
    <row r="308" spans="1:24" ht="151.80000000000001" x14ac:dyDescent="0.3">
      <c r="A308" s="225" t="s">
        <v>787</v>
      </c>
      <c r="B308" s="348" t="s">
        <v>1195</v>
      </c>
      <c r="C308" s="348">
        <v>0</v>
      </c>
      <c r="D308" s="348">
        <v>0</v>
      </c>
      <c r="E308" s="348">
        <v>0</v>
      </c>
      <c r="F308" s="348">
        <v>0</v>
      </c>
      <c r="G308" s="348">
        <v>0</v>
      </c>
      <c r="H308" s="348">
        <v>0</v>
      </c>
      <c r="I308" s="348">
        <v>1</v>
      </c>
      <c r="J308" s="348">
        <v>0</v>
      </c>
      <c r="K308" s="348"/>
      <c r="L308" s="348" t="s">
        <v>1004</v>
      </c>
      <c r="M308" s="348"/>
      <c r="N308" s="348" t="s">
        <v>1372</v>
      </c>
      <c r="O308" s="348" t="s">
        <v>1901</v>
      </c>
      <c r="P308" s="348"/>
      <c r="Q308" s="348"/>
      <c r="R308" s="348"/>
      <c r="S308" s="348" t="s">
        <v>1722</v>
      </c>
      <c r="T308" s="348" t="s">
        <v>1723</v>
      </c>
      <c r="U308" s="348" t="s">
        <v>1004</v>
      </c>
      <c r="V308" s="348" t="s">
        <v>975</v>
      </c>
      <c r="W308" s="348"/>
      <c r="X308" s="348"/>
    </row>
    <row r="309" spans="1:24" ht="110.4" x14ac:dyDescent="0.3">
      <c r="A309" s="225" t="s">
        <v>788</v>
      </c>
      <c r="B309" s="348" t="s">
        <v>1196</v>
      </c>
      <c r="C309" s="348">
        <v>0</v>
      </c>
      <c r="D309" s="348">
        <v>0</v>
      </c>
      <c r="E309" s="348">
        <v>0</v>
      </c>
      <c r="F309" s="348">
        <v>0</v>
      </c>
      <c r="G309" s="348">
        <v>0</v>
      </c>
      <c r="H309" s="348">
        <v>0</v>
      </c>
      <c r="I309" s="348">
        <v>1</v>
      </c>
      <c r="J309" s="348">
        <v>0</v>
      </c>
      <c r="K309" s="348"/>
      <c r="L309" s="348" t="s">
        <v>8</v>
      </c>
      <c r="M309" s="348"/>
      <c r="N309" s="348" t="s">
        <v>1372</v>
      </c>
      <c r="O309" s="348"/>
      <c r="P309" s="348" t="s">
        <v>1902</v>
      </c>
      <c r="Q309" s="348" t="s">
        <v>1903</v>
      </c>
      <c r="R309" s="348"/>
      <c r="S309" s="348" t="s">
        <v>1904</v>
      </c>
      <c r="T309" s="348" t="s">
        <v>1724</v>
      </c>
      <c r="U309" s="348" t="s">
        <v>40</v>
      </c>
      <c r="V309" s="348" t="s">
        <v>975</v>
      </c>
      <c r="W309" s="348" t="s">
        <v>75</v>
      </c>
      <c r="X309" s="348">
        <f t="shared" si="4"/>
        <v>10</v>
      </c>
    </row>
    <row r="310" spans="1:24" ht="110.4" x14ac:dyDescent="0.3">
      <c r="A310" s="361" t="s">
        <v>789</v>
      </c>
      <c r="B310" s="360" t="s">
        <v>1023</v>
      </c>
      <c r="C310" s="348">
        <v>0</v>
      </c>
      <c r="D310" s="348">
        <v>0</v>
      </c>
      <c r="E310" s="348">
        <v>0</v>
      </c>
      <c r="F310" s="348">
        <v>0</v>
      </c>
      <c r="G310" s="348">
        <v>0</v>
      </c>
      <c r="H310" s="348">
        <v>0</v>
      </c>
      <c r="I310" s="348">
        <v>1</v>
      </c>
      <c r="J310" s="348">
        <v>0</v>
      </c>
      <c r="K310" s="348"/>
      <c r="L310" s="348" t="s">
        <v>8</v>
      </c>
      <c r="M310" s="348"/>
      <c r="N310" s="348" t="s">
        <v>1372</v>
      </c>
      <c r="O310" s="348"/>
      <c r="P310" s="348" t="s">
        <v>1725</v>
      </c>
      <c r="Q310" s="348"/>
      <c r="R310" s="348"/>
      <c r="S310" s="348" t="s">
        <v>1726</v>
      </c>
      <c r="T310" s="348" t="s">
        <v>1727</v>
      </c>
      <c r="U310" s="348" t="s">
        <v>40</v>
      </c>
      <c r="V310" s="348" t="s">
        <v>975</v>
      </c>
      <c r="W310" s="348" t="s">
        <v>46</v>
      </c>
      <c r="X310" s="348">
        <f t="shared" si="4"/>
        <v>20</v>
      </c>
    </row>
    <row r="311" spans="1:24" ht="165.6" x14ac:dyDescent="0.3">
      <c r="A311" s="361" t="s">
        <v>790</v>
      </c>
      <c r="B311" s="360" t="s">
        <v>1024</v>
      </c>
      <c r="C311" s="348">
        <v>0</v>
      </c>
      <c r="D311" s="348">
        <v>0</v>
      </c>
      <c r="E311" s="348">
        <v>0</v>
      </c>
      <c r="F311" s="348">
        <v>0</v>
      </c>
      <c r="G311" s="348">
        <v>0</v>
      </c>
      <c r="H311" s="348">
        <v>0</v>
      </c>
      <c r="I311" s="348">
        <v>1</v>
      </c>
      <c r="J311" s="348">
        <v>0</v>
      </c>
      <c r="K311" s="348"/>
      <c r="L311" s="348" t="s">
        <v>8</v>
      </c>
      <c r="M311" s="348"/>
      <c r="N311" s="348" t="s">
        <v>1372</v>
      </c>
      <c r="O311" s="348"/>
      <c r="P311" s="348" t="s">
        <v>1729</v>
      </c>
      <c r="Q311" s="348" t="s">
        <v>1728</v>
      </c>
      <c r="R311" s="348"/>
      <c r="S311" s="348" t="s">
        <v>1730</v>
      </c>
      <c r="T311" s="348" t="s">
        <v>1731</v>
      </c>
      <c r="U311" s="348" t="s">
        <v>40</v>
      </c>
      <c r="V311" s="348" t="s">
        <v>975</v>
      </c>
      <c r="W311" s="348" t="s">
        <v>46</v>
      </c>
      <c r="X311" s="348">
        <f t="shared" si="4"/>
        <v>20</v>
      </c>
    </row>
    <row r="312" spans="1:24" ht="179.4" x14ac:dyDescent="0.3">
      <c r="A312" s="361" t="s">
        <v>791</v>
      </c>
      <c r="B312" s="360" t="s">
        <v>1437</v>
      </c>
      <c r="C312" s="348">
        <v>0</v>
      </c>
      <c r="D312" s="348">
        <v>0</v>
      </c>
      <c r="E312" s="348">
        <v>0</v>
      </c>
      <c r="F312" s="348">
        <v>0</v>
      </c>
      <c r="G312" s="348">
        <v>0</v>
      </c>
      <c r="H312" s="348">
        <v>0</v>
      </c>
      <c r="I312" s="348">
        <v>1</v>
      </c>
      <c r="J312" s="348">
        <v>0</v>
      </c>
      <c r="K312" s="348"/>
      <c r="L312" s="348" t="s">
        <v>8</v>
      </c>
      <c r="M312" s="348"/>
      <c r="N312" s="348" t="s">
        <v>1372</v>
      </c>
      <c r="O312" s="348"/>
      <c r="P312" s="348" t="s">
        <v>1905</v>
      </c>
      <c r="Q312" s="348" t="s">
        <v>1732</v>
      </c>
      <c r="R312" s="348"/>
      <c r="S312" s="348" t="s">
        <v>1733</v>
      </c>
      <c r="T312" s="348" t="s">
        <v>1734</v>
      </c>
      <c r="U312" s="348" t="s">
        <v>40</v>
      </c>
      <c r="V312" s="348" t="s">
        <v>975</v>
      </c>
      <c r="W312" s="348" t="s">
        <v>46</v>
      </c>
      <c r="X312" s="348">
        <f t="shared" si="4"/>
        <v>20</v>
      </c>
    </row>
    <row r="313" spans="1:24" ht="96.6" x14ac:dyDescent="0.3">
      <c r="A313" s="361" t="s">
        <v>792</v>
      </c>
      <c r="B313" s="360" t="s">
        <v>1438</v>
      </c>
      <c r="C313" s="348">
        <v>0</v>
      </c>
      <c r="D313" s="348">
        <v>0</v>
      </c>
      <c r="E313" s="348">
        <v>0</v>
      </c>
      <c r="F313" s="348">
        <v>0</v>
      </c>
      <c r="G313" s="348">
        <v>0</v>
      </c>
      <c r="H313" s="348">
        <v>0</v>
      </c>
      <c r="I313" s="348">
        <v>1</v>
      </c>
      <c r="J313" s="348">
        <v>0</v>
      </c>
      <c r="K313" s="348"/>
      <c r="L313" s="348" t="s">
        <v>8</v>
      </c>
      <c r="M313" s="348"/>
      <c r="N313" s="348" t="s">
        <v>1372</v>
      </c>
      <c r="O313" s="348"/>
      <c r="P313" s="348" t="s">
        <v>1906</v>
      </c>
      <c r="Q313" s="348" t="s">
        <v>1735</v>
      </c>
      <c r="R313" s="348" t="s">
        <v>1528</v>
      </c>
      <c r="S313" s="348" t="s">
        <v>1736</v>
      </c>
      <c r="T313" s="348"/>
      <c r="U313" s="348" t="s">
        <v>40</v>
      </c>
      <c r="V313" s="348" t="s">
        <v>975</v>
      </c>
      <c r="W313" s="348" t="s">
        <v>46</v>
      </c>
      <c r="X313" s="348">
        <f t="shared" si="4"/>
        <v>20</v>
      </c>
    </row>
    <row r="314" spans="1:24" ht="179.4" x14ac:dyDescent="0.3">
      <c r="A314" s="225" t="s">
        <v>793</v>
      </c>
      <c r="B314" s="348" t="s">
        <v>1439</v>
      </c>
      <c r="C314" s="348">
        <v>0</v>
      </c>
      <c r="D314" s="348">
        <v>0</v>
      </c>
      <c r="E314" s="348">
        <v>0</v>
      </c>
      <c r="F314" s="348">
        <v>0</v>
      </c>
      <c r="G314" s="348">
        <v>0</v>
      </c>
      <c r="H314" s="348">
        <v>0</v>
      </c>
      <c r="I314" s="348">
        <v>1</v>
      </c>
      <c r="J314" s="348">
        <v>0</v>
      </c>
      <c r="K314" s="348"/>
      <c r="L314" s="348" t="s">
        <v>8</v>
      </c>
      <c r="M314" s="348"/>
      <c r="N314" s="348" t="s">
        <v>1372</v>
      </c>
      <c r="O314" s="348" t="s">
        <v>1737</v>
      </c>
      <c r="P314" s="348" t="s">
        <v>1738</v>
      </c>
      <c r="Q314" s="348"/>
      <c r="R314" s="348"/>
      <c r="S314" s="348" t="s">
        <v>1739</v>
      </c>
      <c r="T314" s="348" t="s">
        <v>1740</v>
      </c>
      <c r="U314" s="348" t="s">
        <v>40</v>
      </c>
      <c r="V314" s="348" t="s">
        <v>975</v>
      </c>
      <c r="W314" s="348" t="s">
        <v>41</v>
      </c>
      <c r="X314" s="348">
        <f t="shared" si="4"/>
        <v>5</v>
      </c>
    </row>
    <row r="315" spans="1:24" ht="276" x14ac:dyDescent="0.3">
      <c r="A315" s="361" t="s">
        <v>794</v>
      </c>
      <c r="B315" s="360" t="s">
        <v>1197</v>
      </c>
      <c r="C315" s="348">
        <v>0</v>
      </c>
      <c r="D315" s="348">
        <v>0</v>
      </c>
      <c r="E315" s="348">
        <v>0</v>
      </c>
      <c r="F315" s="348">
        <v>0</v>
      </c>
      <c r="G315" s="348">
        <v>0</v>
      </c>
      <c r="H315" s="348">
        <v>0</v>
      </c>
      <c r="I315" s="348">
        <v>1</v>
      </c>
      <c r="J315" s="348">
        <v>0</v>
      </c>
      <c r="K315" s="348"/>
      <c r="L315" s="348" t="s">
        <v>8</v>
      </c>
      <c r="M315" s="348"/>
      <c r="N315" s="348" t="s">
        <v>1372</v>
      </c>
      <c r="O315" s="348" t="s">
        <v>1741</v>
      </c>
      <c r="P315" s="348" t="s">
        <v>1743</v>
      </c>
      <c r="Q315" s="348" t="s">
        <v>1742</v>
      </c>
      <c r="R315" s="348"/>
      <c r="S315" s="348" t="s">
        <v>1744</v>
      </c>
      <c r="T315" s="348" t="s">
        <v>1745</v>
      </c>
      <c r="U315" s="348" t="s">
        <v>40</v>
      </c>
      <c r="V315" s="348" t="s">
        <v>975</v>
      </c>
      <c r="W315" s="348" t="s">
        <v>46</v>
      </c>
      <c r="X315" s="348">
        <f t="shared" si="4"/>
        <v>20</v>
      </c>
    </row>
    <row r="316" spans="1:24" ht="276" x14ac:dyDescent="0.3">
      <c r="A316" s="361" t="s">
        <v>795</v>
      </c>
      <c r="B316" s="360" t="s">
        <v>1198</v>
      </c>
      <c r="C316" s="348">
        <v>0</v>
      </c>
      <c r="D316" s="348">
        <v>0</v>
      </c>
      <c r="E316" s="348">
        <v>0</v>
      </c>
      <c r="F316" s="348">
        <v>0</v>
      </c>
      <c r="G316" s="348">
        <v>0</v>
      </c>
      <c r="H316" s="348">
        <v>0</v>
      </c>
      <c r="I316" s="348">
        <v>1</v>
      </c>
      <c r="J316" s="348">
        <v>0</v>
      </c>
      <c r="K316" s="348"/>
      <c r="L316" s="348" t="s">
        <v>8</v>
      </c>
      <c r="M316" s="348"/>
      <c r="N316" s="348" t="s">
        <v>1372</v>
      </c>
      <c r="O316" s="348" t="s">
        <v>1746</v>
      </c>
      <c r="P316" s="348" t="s">
        <v>1748</v>
      </c>
      <c r="Q316" s="348" t="s">
        <v>1747</v>
      </c>
      <c r="R316" s="348"/>
      <c r="S316" s="348" t="s">
        <v>1749</v>
      </c>
      <c r="T316" s="348" t="s">
        <v>1750</v>
      </c>
      <c r="U316" s="348" t="s">
        <v>148</v>
      </c>
      <c r="V316" s="348" t="s">
        <v>975</v>
      </c>
      <c r="W316" s="348" t="s">
        <v>46</v>
      </c>
      <c r="X316" s="348">
        <f t="shared" si="4"/>
        <v>20</v>
      </c>
    </row>
    <row r="317" spans="1:24" ht="207" x14ac:dyDescent="0.3">
      <c r="A317" s="361" t="s">
        <v>796</v>
      </c>
      <c r="B317" s="360" t="s">
        <v>1199</v>
      </c>
      <c r="C317" s="348">
        <v>0</v>
      </c>
      <c r="D317" s="348">
        <v>0</v>
      </c>
      <c r="E317" s="348">
        <v>0</v>
      </c>
      <c r="F317" s="348">
        <v>0</v>
      </c>
      <c r="G317" s="348">
        <v>0</v>
      </c>
      <c r="H317" s="348">
        <v>0</v>
      </c>
      <c r="I317" s="348">
        <v>1</v>
      </c>
      <c r="J317" s="348">
        <v>0</v>
      </c>
      <c r="K317" s="348"/>
      <c r="L317" s="348" t="s">
        <v>8</v>
      </c>
      <c r="M317" s="348"/>
      <c r="N317" s="348" t="s">
        <v>1372</v>
      </c>
      <c r="O317" s="348" t="s">
        <v>1751</v>
      </c>
      <c r="P317" s="348" t="s">
        <v>1753</v>
      </c>
      <c r="Q317" s="348" t="s">
        <v>1752</v>
      </c>
      <c r="R317" s="348"/>
      <c r="S317" s="348" t="s">
        <v>1754</v>
      </c>
      <c r="T317" s="348" t="s">
        <v>1755</v>
      </c>
      <c r="U317" s="348" t="s">
        <v>40</v>
      </c>
      <c r="V317" s="348" t="s">
        <v>975</v>
      </c>
      <c r="W317" s="348" t="s">
        <v>46</v>
      </c>
      <c r="X317" s="348">
        <f t="shared" si="4"/>
        <v>20</v>
      </c>
    </row>
    <row r="318" spans="1:24" ht="179.4" x14ac:dyDescent="0.3">
      <c r="A318" s="225" t="s">
        <v>797</v>
      </c>
      <c r="B318" s="348" t="s">
        <v>1134</v>
      </c>
      <c r="C318" s="348">
        <v>0</v>
      </c>
      <c r="D318" s="348">
        <v>0</v>
      </c>
      <c r="E318" s="348">
        <v>0</v>
      </c>
      <c r="F318" s="348">
        <v>0</v>
      </c>
      <c r="G318" s="348">
        <v>0</v>
      </c>
      <c r="H318" s="348">
        <v>0</v>
      </c>
      <c r="I318" s="348">
        <v>1</v>
      </c>
      <c r="J318" s="348">
        <v>0</v>
      </c>
      <c r="K318" s="348"/>
      <c r="L318" s="348" t="s">
        <v>1004</v>
      </c>
      <c r="M318" s="348"/>
      <c r="N318" s="348" t="s">
        <v>1372</v>
      </c>
      <c r="O318" s="348" t="s">
        <v>1756</v>
      </c>
      <c r="P318" s="348"/>
      <c r="Q318" s="348"/>
      <c r="R318" s="348"/>
      <c r="S318" s="348" t="s">
        <v>1757</v>
      </c>
      <c r="T318" s="348" t="s">
        <v>1758</v>
      </c>
      <c r="U318" s="348" t="s">
        <v>1004</v>
      </c>
      <c r="V318" s="348" t="s">
        <v>975</v>
      </c>
      <c r="W318" s="348"/>
      <c r="X318" s="348"/>
    </row>
    <row r="319" spans="1:24" ht="220.8" x14ac:dyDescent="0.3">
      <c r="A319" s="225" t="s">
        <v>798</v>
      </c>
      <c r="B319" s="348" t="s">
        <v>1135</v>
      </c>
      <c r="C319" s="348">
        <v>0</v>
      </c>
      <c r="D319" s="348">
        <v>0</v>
      </c>
      <c r="E319" s="348">
        <v>0</v>
      </c>
      <c r="F319" s="348">
        <v>0</v>
      </c>
      <c r="G319" s="348">
        <v>0</v>
      </c>
      <c r="H319" s="348">
        <v>0</v>
      </c>
      <c r="I319" s="348">
        <v>1</v>
      </c>
      <c r="J319" s="348">
        <v>0</v>
      </c>
      <c r="K319" s="348"/>
      <c r="L319" s="348" t="s">
        <v>8</v>
      </c>
      <c r="M319" s="348"/>
      <c r="N319" s="348" t="s">
        <v>1372</v>
      </c>
      <c r="O319" s="348"/>
      <c r="P319" s="348" t="s">
        <v>1760</v>
      </c>
      <c r="Q319" s="348" t="s">
        <v>1759</v>
      </c>
      <c r="R319" s="348"/>
      <c r="S319" s="348" t="s">
        <v>1761</v>
      </c>
      <c r="T319" s="348" t="s">
        <v>1762</v>
      </c>
      <c r="U319" s="348" t="s">
        <v>40</v>
      </c>
      <c r="V319" s="348" t="s">
        <v>975</v>
      </c>
      <c r="W319" s="348" t="s">
        <v>75</v>
      </c>
      <c r="X319" s="348">
        <f t="shared" ref="X319:X334" si="5">IF($W319="Critical Importance",20,IF($W319="Minor Importance",5,10))</f>
        <v>10</v>
      </c>
    </row>
    <row r="320" spans="1:24" ht="317.39999999999998" x14ac:dyDescent="0.3">
      <c r="A320" s="361" t="s">
        <v>799</v>
      </c>
      <c r="B320" s="360" t="s">
        <v>1474</v>
      </c>
      <c r="C320" s="348">
        <v>0</v>
      </c>
      <c r="D320" s="348">
        <v>0</v>
      </c>
      <c r="E320" s="348">
        <v>0</v>
      </c>
      <c r="F320" s="348">
        <v>0</v>
      </c>
      <c r="G320" s="348">
        <v>0</v>
      </c>
      <c r="H320" s="348">
        <v>0</v>
      </c>
      <c r="I320" s="348">
        <v>1</v>
      </c>
      <c r="J320" s="348">
        <v>0</v>
      </c>
      <c r="K320" s="348"/>
      <c r="L320" s="348" t="s">
        <v>8</v>
      </c>
      <c r="M320" s="348"/>
      <c r="N320" s="348" t="s">
        <v>1373</v>
      </c>
      <c r="O320" s="348" t="s">
        <v>1763</v>
      </c>
      <c r="P320" s="348" t="s">
        <v>1765</v>
      </c>
      <c r="Q320" s="348" t="s">
        <v>1764</v>
      </c>
      <c r="R320" s="348"/>
      <c r="S320" s="348" t="s">
        <v>1766</v>
      </c>
      <c r="T320" s="348" t="s">
        <v>1767</v>
      </c>
      <c r="U320" s="348" t="s">
        <v>40</v>
      </c>
      <c r="V320" s="348" t="s">
        <v>975</v>
      </c>
      <c r="W320" s="348" t="s">
        <v>46</v>
      </c>
      <c r="X320" s="348">
        <f t="shared" si="5"/>
        <v>20</v>
      </c>
    </row>
    <row r="321" spans="1:24" ht="124.2" x14ac:dyDescent="0.3">
      <c r="A321" s="361" t="s">
        <v>800</v>
      </c>
      <c r="B321" s="360" t="s">
        <v>1025</v>
      </c>
      <c r="C321" s="348">
        <v>0</v>
      </c>
      <c r="D321" s="348">
        <v>0</v>
      </c>
      <c r="E321" s="348">
        <v>0</v>
      </c>
      <c r="F321" s="348">
        <v>0</v>
      </c>
      <c r="G321" s="348">
        <v>0</v>
      </c>
      <c r="H321" s="348">
        <v>0</v>
      </c>
      <c r="I321" s="348">
        <v>1</v>
      </c>
      <c r="J321" s="348">
        <v>0</v>
      </c>
      <c r="K321" s="348"/>
      <c r="L321" s="348" t="s">
        <v>8</v>
      </c>
      <c r="M321" s="348"/>
      <c r="N321" s="348" t="s">
        <v>1373</v>
      </c>
      <c r="O321" s="348"/>
      <c r="P321" s="348" t="s">
        <v>1769</v>
      </c>
      <c r="Q321" s="348" t="s">
        <v>1768</v>
      </c>
      <c r="R321" s="348"/>
      <c r="S321" s="348" t="s">
        <v>1770</v>
      </c>
      <c r="T321" s="348" t="s">
        <v>1771</v>
      </c>
      <c r="U321" s="348" t="s">
        <v>40</v>
      </c>
      <c r="V321" s="348" t="s">
        <v>975</v>
      </c>
      <c r="W321" s="348" t="s">
        <v>46</v>
      </c>
      <c r="X321" s="348">
        <f t="shared" si="5"/>
        <v>20</v>
      </c>
    </row>
    <row r="322" spans="1:24" ht="144.75" customHeight="1" x14ac:dyDescent="0.3">
      <c r="A322" s="225" t="s">
        <v>801</v>
      </c>
      <c r="B322" s="348" t="s">
        <v>1200</v>
      </c>
      <c r="C322" s="348">
        <v>0</v>
      </c>
      <c r="D322" s="348">
        <v>0</v>
      </c>
      <c r="E322" s="348">
        <v>0</v>
      </c>
      <c r="F322" s="348">
        <v>0</v>
      </c>
      <c r="G322" s="348">
        <v>0</v>
      </c>
      <c r="H322" s="348">
        <v>0</v>
      </c>
      <c r="I322" s="348">
        <v>1</v>
      </c>
      <c r="J322" s="348">
        <v>0</v>
      </c>
      <c r="K322" s="348"/>
      <c r="L322" s="348" t="s">
        <v>8</v>
      </c>
      <c r="M322" s="348"/>
      <c r="N322" s="348" t="s">
        <v>1373</v>
      </c>
      <c r="O322" s="348"/>
      <c r="P322" s="348" t="s">
        <v>1772</v>
      </c>
      <c r="Q322" s="348" t="s">
        <v>1907</v>
      </c>
      <c r="R322" s="348"/>
      <c r="S322" s="348" t="s">
        <v>1773</v>
      </c>
      <c r="T322" s="348" t="s">
        <v>1774</v>
      </c>
      <c r="U322" s="348" t="s">
        <v>40</v>
      </c>
      <c r="V322" s="348" t="s">
        <v>975</v>
      </c>
      <c r="W322" s="348" t="s">
        <v>75</v>
      </c>
      <c r="X322" s="348">
        <f t="shared" si="5"/>
        <v>10</v>
      </c>
    </row>
    <row r="323" spans="1:24" ht="90" customHeight="1" x14ac:dyDescent="0.3">
      <c r="A323" s="225" t="s">
        <v>803</v>
      </c>
      <c r="B323" s="348" t="s">
        <v>804</v>
      </c>
      <c r="C323" s="348">
        <v>0</v>
      </c>
      <c r="D323" s="348">
        <v>0</v>
      </c>
      <c r="E323" s="348">
        <v>0</v>
      </c>
      <c r="F323" s="348">
        <v>0</v>
      </c>
      <c r="G323" s="348">
        <v>0</v>
      </c>
      <c r="H323" s="348">
        <v>0</v>
      </c>
      <c r="I323" s="348">
        <v>1</v>
      </c>
      <c r="J323" s="348">
        <v>0</v>
      </c>
      <c r="K323" s="348"/>
      <c r="L323" s="348" t="s">
        <v>8</v>
      </c>
      <c r="M323" s="348"/>
      <c r="N323" s="348" t="s">
        <v>1373</v>
      </c>
      <c r="O323" s="348"/>
      <c r="P323" s="348" t="s">
        <v>1776</v>
      </c>
      <c r="Q323" s="348" t="s">
        <v>1775</v>
      </c>
      <c r="R323" s="348"/>
      <c r="S323" s="348" t="s">
        <v>1777</v>
      </c>
      <c r="T323" s="348" t="s">
        <v>1778</v>
      </c>
      <c r="U323" s="348" t="s">
        <v>40</v>
      </c>
      <c r="V323" s="348" t="s">
        <v>975</v>
      </c>
      <c r="W323" s="348" t="s">
        <v>75</v>
      </c>
      <c r="X323" s="348">
        <f t="shared" si="5"/>
        <v>10</v>
      </c>
    </row>
    <row r="324" spans="1:24" ht="90" customHeight="1" x14ac:dyDescent="0.3">
      <c r="A324" s="225" t="s">
        <v>805</v>
      </c>
      <c r="B324" s="348" t="s">
        <v>802</v>
      </c>
      <c r="C324" s="348">
        <v>0</v>
      </c>
      <c r="D324" s="348">
        <v>0</v>
      </c>
      <c r="E324" s="348">
        <v>0</v>
      </c>
      <c r="F324" s="348">
        <v>0</v>
      </c>
      <c r="G324" s="348">
        <v>0</v>
      </c>
      <c r="H324" s="348">
        <v>0</v>
      </c>
      <c r="I324" s="348">
        <v>1</v>
      </c>
      <c r="J324" s="348">
        <v>0</v>
      </c>
      <c r="K324" s="348"/>
      <c r="L324" s="348" t="s">
        <v>8</v>
      </c>
      <c r="M324" s="348"/>
      <c r="N324" s="348" t="s">
        <v>1373</v>
      </c>
      <c r="O324" s="348"/>
      <c r="P324" s="348" t="s">
        <v>1780</v>
      </c>
      <c r="Q324" s="348" t="s">
        <v>1779</v>
      </c>
      <c r="R324" s="348"/>
      <c r="S324" s="348" t="s">
        <v>1777</v>
      </c>
      <c r="T324" s="348"/>
      <c r="U324" s="348" t="s">
        <v>40</v>
      </c>
      <c r="V324" s="348" t="s">
        <v>975</v>
      </c>
      <c r="W324" s="348" t="s">
        <v>41</v>
      </c>
      <c r="X324" s="348">
        <f t="shared" si="5"/>
        <v>5</v>
      </c>
    </row>
    <row r="325" spans="1:24" ht="90" customHeight="1" x14ac:dyDescent="0.3">
      <c r="A325" s="225" t="s">
        <v>806</v>
      </c>
      <c r="B325" s="348" t="s">
        <v>1136</v>
      </c>
      <c r="C325" s="348">
        <v>0</v>
      </c>
      <c r="D325" s="348">
        <v>0</v>
      </c>
      <c r="E325" s="348">
        <v>0</v>
      </c>
      <c r="F325" s="348">
        <v>0</v>
      </c>
      <c r="G325" s="348">
        <v>0</v>
      </c>
      <c r="H325" s="348">
        <v>0</v>
      </c>
      <c r="I325" s="348">
        <v>1</v>
      </c>
      <c r="J325" s="348">
        <v>0</v>
      </c>
      <c r="K325" s="348"/>
      <c r="L325" s="348" t="s">
        <v>8</v>
      </c>
      <c r="M325" s="348"/>
      <c r="N325" s="348" t="s">
        <v>1373</v>
      </c>
      <c r="O325" s="348"/>
      <c r="P325" s="348" t="s">
        <v>1782</v>
      </c>
      <c r="Q325" s="348" t="s">
        <v>1781</v>
      </c>
      <c r="R325" s="348"/>
      <c r="S325" s="348" t="s">
        <v>1783</v>
      </c>
      <c r="T325" s="348" t="s">
        <v>1784</v>
      </c>
      <c r="U325" s="348" t="s">
        <v>40</v>
      </c>
      <c r="V325" s="348" t="s">
        <v>975</v>
      </c>
      <c r="W325" s="348" t="s">
        <v>41</v>
      </c>
      <c r="X325" s="348">
        <f t="shared" si="5"/>
        <v>5</v>
      </c>
    </row>
    <row r="326" spans="1:24" ht="96.6" x14ac:dyDescent="0.3">
      <c r="A326" s="225" t="s">
        <v>807</v>
      </c>
      <c r="B326" s="348" t="s">
        <v>1137</v>
      </c>
      <c r="C326" s="348">
        <v>0</v>
      </c>
      <c r="D326" s="348">
        <v>0</v>
      </c>
      <c r="E326" s="348">
        <v>0</v>
      </c>
      <c r="F326" s="348">
        <v>0</v>
      </c>
      <c r="G326" s="348">
        <v>0</v>
      </c>
      <c r="H326" s="348">
        <v>0</v>
      </c>
      <c r="I326" s="348">
        <v>1</v>
      </c>
      <c r="J326" s="348">
        <v>0</v>
      </c>
      <c r="K326" s="348"/>
      <c r="L326" s="348" t="s">
        <v>8</v>
      </c>
      <c r="M326" s="348"/>
      <c r="N326" s="348" t="s">
        <v>1373</v>
      </c>
      <c r="O326" s="348"/>
      <c r="P326" s="348" t="s">
        <v>1786</v>
      </c>
      <c r="Q326" s="348" t="s">
        <v>1785</v>
      </c>
      <c r="R326" s="348"/>
      <c r="S326" s="348" t="s">
        <v>1787</v>
      </c>
      <c r="T326" s="348" t="s">
        <v>1788</v>
      </c>
      <c r="U326" s="348" t="s">
        <v>40</v>
      </c>
      <c r="V326" s="348" t="s">
        <v>975</v>
      </c>
      <c r="W326" s="348" t="s">
        <v>41</v>
      </c>
      <c r="X326" s="348">
        <f t="shared" si="5"/>
        <v>5</v>
      </c>
    </row>
    <row r="327" spans="1:24" ht="90" customHeight="1" x14ac:dyDescent="0.3">
      <c r="A327" s="225" t="s">
        <v>809</v>
      </c>
      <c r="B327" s="348" t="s">
        <v>808</v>
      </c>
      <c r="C327" s="348">
        <v>0</v>
      </c>
      <c r="D327" s="348">
        <v>0</v>
      </c>
      <c r="E327" s="348">
        <v>0</v>
      </c>
      <c r="F327" s="348">
        <v>0</v>
      </c>
      <c r="G327" s="348">
        <v>0</v>
      </c>
      <c r="H327" s="348">
        <v>0</v>
      </c>
      <c r="I327" s="348">
        <v>1</v>
      </c>
      <c r="J327" s="348">
        <v>0</v>
      </c>
      <c r="K327" s="348"/>
      <c r="L327" s="348" t="s">
        <v>8</v>
      </c>
      <c r="M327" s="348"/>
      <c r="N327" s="348" t="s">
        <v>1373</v>
      </c>
      <c r="O327" s="348"/>
      <c r="P327" s="348" t="s">
        <v>1790</v>
      </c>
      <c r="Q327" s="348" t="s">
        <v>1789</v>
      </c>
      <c r="R327" s="348"/>
      <c r="S327" s="348" t="s">
        <v>1791</v>
      </c>
      <c r="T327" s="348" t="s">
        <v>1792</v>
      </c>
      <c r="U327" s="348" t="s">
        <v>40</v>
      </c>
      <c r="V327" s="348" t="s">
        <v>975</v>
      </c>
      <c r="W327" s="348" t="s">
        <v>41</v>
      </c>
      <c r="X327" s="348">
        <f t="shared" si="5"/>
        <v>5</v>
      </c>
    </row>
    <row r="328" spans="1:24" ht="90" customHeight="1" x14ac:dyDescent="0.3">
      <c r="A328" s="361" t="s">
        <v>810</v>
      </c>
      <c r="B328" s="360" t="s">
        <v>1201</v>
      </c>
      <c r="C328" s="348">
        <v>0</v>
      </c>
      <c r="D328" s="348">
        <v>0</v>
      </c>
      <c r="E328" s="348">
        <v>0</v>
      </c>
      <c r="F328" s="348">
        <v>0</v>
      </c>
      <c r="G328" s="348">
        <v>0</v>
      </c>
      <c r="H328" s="348">
        <v>0</v>
      </c>
      <c r="I328" s="348">
        <v>1</v>
      </c>
      <c r="J328" s="348">
        <v>0</v>
      </c>
      <c r="K328" s="348"/>
      <c r="L328" s="348" t="s">
        <v>8</v>
      </c>
      <c r="M328" s="348"/>
      <c r="N328" s="348" t="s">
        <v>1373</v>
      </c>
      <c r="O328" s="348"/>
      <c r="P328" s="348" t="s">
        <v>1908</v>
      </c>
      <c r="Q328" s="348" t="s">
        <v>1793</v>
      </c>
      <c r="R328" s="348"/>
      <c r="S328" s="348" t="s">
        <v>1794</v>
      </c>
      <c r="T328" s="348" t="s">
        <v>1795</v>
      </c>
      <c r="U328" s="348" t="s">
        <v>40</v>
      </c>
      <c r="V328" s="348" t="s">
        <v>975</v>
      </c>
      <c r="W328" s="348" t="s">
        <v>46</v>
      </c>
      <c r="X328" s="348">
        <f t="shared" si="5"/>
        <v>20</v>
      </c>
    </row>
    <row r="329" spans="1:24" ht="138" x14ac:dyDescent="0.3">
      <c r="A329" s="361" t="s">
        <v>811</v>
      </c>
      <c r="B329" s="360" t="s">
        <v>1202</v>
      </c>
      <c r="C329" s="348">
        <v>0</v>
      </c>
      <c r="D329" s="348">
        <v>0</v>
      </c>
      <c r="E329" s="348">
        <v>0</v>
      </c>
      <c r="F329" s="348">
        <v>0</v>
      </c>
      <c r="G329" s="348">
        <v>0</v>
      </c>
      <c r="H329" s="348">
        <v>0</v>
      </c>
      <c r="I329" s="348">
        <v>1</v>
      </c>
      <c r="J329" s="348">
        <v>0</v>
      </c>
      <c r="K329" s="348"/>
      <c r="L329" s="348" t="s">
        <v>8</v>
      </c>
      <c r="M329" s="348"/>
      <c r="N329" s="348" t="s">
        <v>1374</v>
      </c>
      <c r="O329" s="348"/>
      <c r="P329" s="348" t="s">
        <v>1797</v>
      </c>
      <c r="Q329" s="348" t="s">
        <v>1796</v>
      </c>
      <c r="R329" s="348"/>
      <c r="S329" s="348" t="s">
        <v>1798</v>
      </c>
      <c r="T329" s="348" t="s">
        <v>1799</v>
      </c>
      <c r="U329" s="348" t="s">
        <v>40</v>
      </c>
      <c r="V329" s="348" t="s">
        <v>975</v>
      </c>
      <c r="W329" s="348" t="s">
        <v>46</v>
      </c>
      <c r="X329" s="348">
        <f t="shared" si="5"/>
        <v>20</v>
      </c>
    </row>
    <row r="330" spans="1:24" ht="90" customHeight="1" x14ac:dyDescent="0.3">
      <c r="A330" s="361" t="s">
        <v>812</v>
      </c>
      <c r="B330" s="360" t="s">
        <v>1203</v>
      </c>
      <c r="C330" s="348">
        <v>0</v>
      </c>
      <c r="D330" s="348">
        <v>0</v>
      </c>
      <c r="E330" s="348">
        <v>0</v>
      </c>
      <c r="F330" s="348">
        <v>0</v>
      </c>
      <c r="G330" s="348">
        <v>0</v>
      </c>
      <c r="H330" s="348">
        <v>0</v>
      </c>
      <c r="I330" s="348">
        <v>1</v>
      </c>
      <c r="J330" s="348">
        <v>0</v>
      </c>
      <c r="K330" s="348"/>
      <c r="L330" s="348" t="s">
        <v>8</v>
      </c>
      <c r="M330" s="348"/>
      <c r="N330" s="348" t="s">
        <v>1374</v>
      </c>
      <c r="O330" s="348"/>
      <c r="P330" s="348" t="s">
        <v>1801</v>
      </c>
      <c r="Q330" s="348" t="s">
        <v>1800</v>
      </c>
      <c r="R330" s="348"/>
      <c r="S330" s="348" t="s">
        <v>1802</v>
      </c>
      <c r="T330" s="348" t="s">
        <v>1803</v>
      </c>
      <c r="U330" s="348" t="s">
        <v>40</v>
      </c>
      <c r="V330" s="348" t="s">
        <v>975</v>
      </c>
      <c r="W330" s="348" t="s">
        <v>46</v>
      </c>
      <c r="X330" s="348">
        <f t="shared" si="5"/>
        <v>20</v>
      </c>
    </row>
    <row r="331" spans="1:24" ht="90" customHeight="1" x14ac:dyDescent="0.3">
      <c r="A331" s="361" t="s">
        <v>813</v>
      </c>
      <c r="B331" s="360" t="s">
        <v>1138</v>
      </c>
      <c r="C331" s="348">
        <v>0</v>
      </c>
      <c r="D331" s="348">
        <v>0</v>
      </c>
      <c r="E331" s="348">
        <v>0</v>
      </c>
      <c r="F331" s="348">
        <v>0</v>
      </c>
      <c r="G331" s="348">
        <v>0</v>
      </c>
      <c r="H331" s="348">
        <v>0</v>
      </c>
      <c r="I331" s="348">
        <v>1</v>
      </c>
      <c r="J331" s="348">
        <v>0</v>
      </c>
      <c r="K331" s="348"/>
      <c r="L331" s="348" t="s">
        <v>8</v>
      </c>
      <c r="M331" s="348"/>
      <c r="N331" s="348" t="s">
        <v>1375</v>
      </c>
      <c r="O331" s="348"/>
      <c r="P331" s="348" t="s">
        <v>1805</v>
      </c>
      <c r="Q331" s="348" t="s">
        <v>1804</v>
      </c>
      <c r="R331" s="348"/>
      <c r="S331" s="348" t="s">
        <v>1806</v>
      </c>
      <c r="T331" s="348" t="s">
        <v>1807</v>
      </c>
      <c r="U331" s="348" t="s">
        <v>40</v>
      </c>
      <c r="V331" s="348" t="s">
        <v>975</v>
      </c>
      <c r="W331" s="348" t="s">
        <v>46</v>
      </c>
      <c r="X331" s="348">
        <f t="shared" si="5"/>
        <v>20</v>
      </c>
    </row>
    <row r="332" spans="1:24" ht="90" customHeight="1" x14ac:dyDescent="0.3">
      <c r="A332" s="225" t="s">
        <v>814</v>
      </c>
      <c r="B332" s="348" t="s">
        <v>1204</v>
      </c>
      <c r="C332" s="348">
        <v>0</v>
      </c>
      <c r="D332" s="348">
        <v>0</v>
      </c>
      <c r="E332" s="348">
        <v>0</v>
      </c>
      <c r="F332" s="348">
        <v>0</v>
      </c>
      <c r="G332" s="348">
        <v>0</v>
      </c>
      <c r="H332" s="348">
        <v>0</v>
      </c>
      <c r="I332" s="348">
        <v>1</v>
      </c>
      <c r="J332" s="348">
        <v>0</v>
      </c>
      <c r="K332" s="348"/>
      <c r="L332" s="348" t="s">
        <v>8</v>
      </c>
      <c r="M332" s="348"/>
      <c r="N332" s="348" t="s">
        <v>1374</v>
      </c>
      <c r="O332" s="348"/>
      <c r="P332" s="348" t="s">
        <v>1809</v>
      </c>
      <c r="Q332" s="348" t="s">
        <v>1808</v>
      </c>
      <c r="R332" s="348"/>
      <c r="S332" s="348" t="s">
        <v>1810</v>
      </c>
      <c r="T332" s="348" t="s">
        <v>1811</v>
      </c>
      <c r="U332" s="348" t="s">
        <v>40</v>
      </c>
      <c r="V332" s="348" t="s">
        <v>975</v>
      </c>
      <c r="W332" s="348" t="s">
        <v>75</v>
      </c>
      <c r="X332" s="348">
        <f t="shared" si="5"/>
        <v>10</v>
      </c>
    </row>
    <row r="333" spans="1:24" ht="90" customHeight="1" x14ac:dyDescent="0.3">
      <c r="A333" s="225" t="s">
        <v>815</v>
      </c>
      <c r="B333" s="348" t="s">
        <v>819</v>
      </c>
      <c r="C333" s="348">
        <v>0</v>
      </c>
      <c r="D333" s="348">
        <v>0</v>
      </c>
      <c r="E333" s="348">
        <v>0</v>
      </c>
      <c r="F333" s="348">
        <v>0</v>
      </c>
      <c r="G333" s="348">
        <v>0</v>
      </c>
      <c r="H333" s="348">
        <v>0</v>
      </c>
      <c r="I333" s="348">
        <v>1</v>
      </c>
      <c r="J333" s="348">
        <v>0</v>
      </c>
      <c r="K333" s="348"/>
      <c r="L333" s="348" t="s">
        <v>8</v>
      </c>
      <c r="M333" s="348"/>
      <c r="N333" s="348" t="s">
        <v>1374</v>
      </c>
      <c r="O333" s="348"/>
      <c r="P333" s="348" t="s">
        <v>1813</v>
      </c>
      <c r="Q333" s="348" t="s">
        <v>1812</v>
      </c>
      <c r="R333" s="348"/>
      <c r="S333" s="348" t="s">
        <v>1814</v>
      </c>
      <c r="T333" s="348" t="s">
        <v>1815</v>
      </c>
      <c r="U333" s="348" t="s">
        <v>40</v>
      </c>
      <c r="V333" s="348" t="s">
        <v>975</v>
      </c>
      <c r="W333" s="348" t="s">
        <v>75</v>
      </c>
      <c r="X333" s="348">
        <f t="shared" si="5"/>
        <v>10</v>
      </c>
    </row>
    <row r="334" spans="1:24" ht="90" customHeight="1" x14ac:dyDescent="0.3">
      <c r="A334" s="225" t="s">
        <v>818</v>
      </c>
      <c r="B334" s="348" t="s">
        <v>816</v>
      </c>
      <c r="C334" s="348">
        <v>0</v>
      </c>
      <c r="D334" s="348">
        <v>0</v>
      </c>
      <c r="E334" s="348">
        <v>0</v>
      </c>
      <c r="F334" s="348">
        <v>0</v>
      </c>
      <c r="G334" s="348">
        <v>0</v>
      </c>
      <c r="H334" s="348">
        <v>0</v>
      </c>
      <c r="I334" s="348">
        <v>1</v>
      </c>
      <c r="J334" s="348">
        <v>0</v>
      </c>
      <c r="K334" s="348"/>
      <c r="L334" s="348" t="s">
        <v>8</v>
      </c>
      <c r="M334" s="348" t="s">
        <v>975</v>
      </c>
      <c r="N334" s="348" t="s">
        <v>1374</v>
      </c>
      <c r="O334" s="348" t="s">
        <v>817</v>
      </c>
      <c r="P334" s="348" t="s">
        <v>975</v>
      </c>
      <c r="Q334" s="348" t="s">
        <v>975</v>
      </c>
      <c r="R334" s="348"/>
      <c r="S334" s="348" t="s">
        <v>975</v>
      </c>
      <c r="T334" s="348" t="s">
        <v>975</v>
      </c>
      <c r="U334" s="348" t="s">
        <v>40</v>
      </c>
      <c r="V334" s="348" t="s">
        <v>975</v>
      </c>
      <c r="W334" s="348" t="s">
        <v>41</v>
      </c>
      <c r="X334" s="348">
        <f t="shared" si="5"/>
        <v>5</v>
      </c>
    </row>
    <row r="335" spans="1:24" ht="13.8" x14ac:dyDescent="0.3">
      <c r="A335" s="225"/>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row>
    <row r="336" spans="1:24" ht="13.8" x14ac:dyDescent="0.3">
      <c r="A336" s="225"/>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row>
    <row r="337" spans="1:24" ht="13.8" x14ac:dyDescent="0.3">
      <c r="A337" s="225"/>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row>
    <row r="338" spans="1:24" ht="13.8" x14ac:dyDescent="0.3">
      <c r="A338" s="225"/>
      <c r="B338" s="225"/>
      <c r="C338" s="225"/>
      <c r="D338" s="225"/>
      <c r="E338" s="225"/>
      <c r="F338" s="225"/>
      <c r="G338" s="225"/>
      <c r="H338" s="225"/>
      <c r="I338" s="225"/>
      <c r="J338" s="225"/>
      <c r="K338" s="225"/>
      <c r="L338" s="225"/>
      <c r="M338" s="225"/>
      <c r="N338" s="225"/>
      <c r="O338" s="225"/>
      <c r="P338" s="225"/>
      <c r="Q338" s="225"/>
      <c r="R338" s="225"/>
      <c r="S338" s="225"/>
      <c r="T338" s="225"/>
      <c r="U338" s="225"/>
      <c r="V338" s="225"/>
      <c r="W338" s="225"/>
      <c r="X338" s="225"/>
    </row>
    <row r="339" spans="1:24" ht="13.8" x14ac:dyDescent="0.3">
      <c r="A339" s="225"/>
      <c r="B339" s="225"/>
      <c r="C339" s="225"/>
      <c r="D339" s="225"/>
      <c r="E339" s="225"/>
      <c r="F339" s="225"/>
      <c r="G339" s="225"/>
      <c r="H339" s="225"/>
      <c r="I339" s="225"/>
      <c r="J339" s="225"/>
      <c r="K339" s="225"/>
      <c r="L339" s="225"/>
      <c r="M339" s="225"/>
      <c r="N339" s="225"/>
      <c r="O339" s="225"/>
      <c r="P339" s="225"/>
      <c r="Q339" s="225"/>
      <c r="R339" s="225"/>
      <c r="S339" s="225"/>
      <c r="T339" s="225"/>
      <c r="U339" s="225"/>
      <c r="V339" s="225"/>
      <c r="W339" s="225"/>
      <c r="X339" s="225"/>
    </row>
    <row r="340" spans="1:24" ht="13.8" x14ac:dyDescent="0.3">
      <c r="A340" s="225"/>
      <c r="B340" s="225"/>
      <c r="C340" s="225"/>
      <c r="D340" s="225"/>
      <c r="E340" s="225"/>
      <c r="F340" s="225"/>
      <c r="G340" s="225"/>
      <c r="H340" s="225"/>
      <c r="I340" s="225"/>
      <c r="J340" s="225"/>
      <c r="K340" s="225"/>
      <c r="L340" s="225"/>
      <c r="M340" s="225"/>
      <c r="N340" s="225"/>
      <c r="O340" s="225"/>
      <c r="P340" s="225"/>
      <c r="Q340" s="225"/>
      <c r="R340" s="225"/>
      <c r="S340" s="225"/>
      <c r="T340" s="225"/>
      <c r="U340" s="225"/>
      <c r="V340" s="225"/>
      <c r="W340" s="225"/>
      <c r="X340" s="225"/>
    </row>
    <row r="341" spans="1:24" ht="13.8" x14ac:dyDescent="0.3">
      <c r="A341" s="225"/>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row>
    <row r="342" spans="1:24" ht="13.8" x14ac:dyDescent="0.3">
      <c r="A342" s="225"/>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row>
    <row r="343" spans="1:24" ht="13.8" x14ac:dyDescent="0.3">
      <c r="A343" s="225"/>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row>
    <row r="344" spans="1:24" ht="13.8" x14ac:dyDescent="0.3">
      <c r="A344" s="225"/>
      <c r="B344" s="225"/>
      <c r="C344" s="225"/>
      <c r="D344" s="225"/>
      <c r="E344" s="225"/>
      <c r="F344" s="225"/>
      <c r="G344" s="225"/>
      <c r="H344" s="225"/>
      <c r="I344" s="225"/>
      <c r="J344" s="225"/>
      <c r="K344" s="225"/>
      <c r="L344" s="225"/>
      <c r="M344" s="225"/>
      <c r="N344" s="225"/>
      <c r="O344" s="225"/>
      <c r="P344" s="225"/>
      <c r="Q344" s="225"/>
      <c r="R344" s="225"/>
      <c r="S344" s="225"/>
      <c r="T344" s="225"/>
      <c r="U344" s="225"/>
      <c r="V344" s="225"/>
      <c r="W344" s="225"/>
      <c r="X344" s="225"/>
    </row>
    <row r="345" spans="1:24" ht="13.8" x14ac:dyDescent="0.3">
      <c r="A345" s="225"/>
      <c r="B345" s="225"/>
      <c r="C345" s="225"/>
      <c r="D345" s="225"/>
      <c r="E345" s="225"/>
      <c r="F345" s="225"/>
      <c r="G345" s="225"/>
      <c r="H345" s="225"/>
      <c r="I345" s="225"/>
      <c r="J345" s="225"/>
      <c r="K345" s="225"/>
      <c r="L345" s="225"/>
      <c r="M345" s="225"/>
      <c r="N345" s="225"/>
      <c r="O345" s="225"/>
      <c r="P345" s="225"/>
      <c r="Q345" s="225"/>
      <c r="R345" s="225"/>
      <c r="S345" s="225"/>
      <c r="T345" s="225"/>
      <c r="U345" s="225"/>
      <c r="V345" s="225"/>
      <c r="W345" s="225"/>
      <c r="X345" s="225"/>
    </row>
    <row r="346" spans="1:24" ht="13.8" x14ac:dyDescent="0.3">
      <c r="A346" s="225"/>
      <c r="B346" s="225"/>
      <c r="C346" s="225"/>
      <c r="D346" s="225"/>
      <c r="E346" s="225"/>
      <c r="F346" s="225"/>
      <c r="G346" s="225"/>
      <c r="H346" s="225"/>
      <c r="I346" s="225"/>
      <c r="J346" s="225"/>
      <c r="K346" s="225"/>
      <c r="L346" s="225"/>
      <c r="M346" s="225"/>
      <c r="N346" s="225"/>
      <c r="O346" s="225"/>
      <c r="P346" s="225"/>
      <c r="Q346" s="225"/>
      <c r="R346" s="225"/>
      <c r="S346" s="225"/>
      <c r="T346" s="225"/>
      <c r="U346" s="225"/>
      <c r="V346" s="225"/>
      <c r="W346" s="225"/>
      <c r="X346" s="225"/>
    </row>
    <row r="347" spans="1:24" ht="13.8" x14ac:dyDescent="0.3">
      <c r="A347" s="225"/>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row>
    <row r="348" spans="1:24" ht="13.8" x14ac:dyDescent="0.3">
      <c r="A348" s="225"/>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row>
    <row r="349" spans="1:24" ht="13.8" x14ac:dyDescent="0.3">
      <c r="A349" s="225"/>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row>
    <row r="350" spans="1:24" ht="13.8" x14ac:dyDescent="0.3">
      <c r="A350" s="225"/>
      <c r="B350" s="225"/>
      <c r="C350" s="225"/>
      <c r="D350" s="225"/>
      <c r="E350" s="225"/>
      <c r="F350" s="225"/>
      <c r="G350" s="225"/>
      <c r="H350" s="225"/>
      <c r="I350" s="225"/>
      <c r="J350" s="225"/>
      <c r="K350" s="225"/>
      <c r="L350" s="225"/>
      <c r="M350" s="225"/>
      <c r="N350" s="225"/>
      <c r="O350" s="225"/>
      <c r="P350" s="225"/>
      <c r="Q350" s="225"/>
      <c r="R350" s="225"/>
      <c r="S350" s="225"/>
      <c r="T350" s="225"/>
      <c r="U350" s="225"/>
      <c r="V350" s="225"/>
      <c r="W350" s="225"/>
      <c r="X350" s="225"/>
    </row>
    <row r="351" spans="1:24" ht="13.8" x14ac:dyDescent="0.3">
      <c r="A351" s="225"/>
      <c r="B351" s="225"/>
      <c r="C351" s="225"/>
      <c r="D351" s="225"/>
      <c r="E351" s="225"/>
      <c r="F351" s="225"/>
      <c r="G351" s="225"/>
      <c r="H351" s="225"/>
      <c r="I351" s="225"/>
      <c r="J351" s="225"/>
      <c r="K351" s="225"/>
      <c r="L351" s="225"/>
      <c r="M351" s="225"/>
      <c r="N351" s="225"/>
      <c r="O351" s="225"/>
      <c r="P351" s="225"/>
      <c r="Q351" s="225"/>
      <c r="R351" s="225"/>
      <c r="S351" s="225"/>
      <c r="T351" s="225"/>
      <c r="U351" s="225"/>
      <c r="V351" s="225"/>
      <c r="W351" s="225"/>
      <c r="X351" s="225"/>
    </row>
    <row r="352" spans="1:24" ht="13.8" x14ac:dyDescent="0.3">
      <c r="A352" s="225"/>
      <c r="B352" s="225"/>
      <c r="C352" s="225"/>
      <c r="D352" s="225"/>
      <c r="E352" s="225"/>
      <c r="F352" s="225"/>
      <c r="G352" s="225"/>
      <c r="H352" s="225"/>
      <c r="I352" s="225"/>
      <c r="J352" s="225"/>
      <c r="K352" s="225"/>
      <c r="L352" s="225"/>
      <c r="M352" s="225"/>
      <c r="N352" s="225"/>
      <c r="O352" s="225"/>
      <c r="P352" s="225"/>
      <c r="Q352" s="225"/>
      <c r="R352" s="225"/>
      <c r="S352" s="225"/>
      <c r="T352" s="225"/>
      <c r="U352" s="225"/>
      <c r="V352" s="225"/>
      <c r="W352" s="225"/>
      <c r="X352" s="225"/>
    </row>
    <row r="353" spans="1:24" ht="13.8" x14ac:dyDescent="0.3">
      <c r="A353" s="225"/>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row>
    <row r="354" spans="1:24" ht="13.8" x14ac:dyDescent="0.3">
      <c r="A354" s="225"/>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row>
    <row r="355" spans="1:24" ht="13.8" x14ac:dyDescent="0.3">
      <c r="A355" s="225"/>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row>
    <row r="356" spans="1:24" ht="13.8" x14ac:dyDescent="0.3">
      <c r="A356" s="225"/>
      <c r="B356" s="225"/>
      <c r="C356" s="225"/>
      <c r="D356" s="225"/>
      <c r="E356" s="225"/>
      <c r="F356" s="225"/>
      <c r="G356" s="225"/>
      <c r="H356" s="225"/>
      <c r="I356" s="225"/>
      <c r="J356" s="225"/>
      <c r="K356" s="225"/>
      <c r="L356" s="225"/>
      <c r="M356" s="225"/>
      <c r="N356" s="225"/>
      <c r="O356" s="225"/>
      <c r="P356" s="225"/>
      <c r="Q356" s="225"/>
      <c r="R356" s="225"/>
      <c r="S356" s="225"/>
      <c r="T356" s="225"/>
      <c r="U356" s="225"/>
      <c r="V356" s="225"/>
      <c r="W356" s="225"/>
      <c r="X356" s="225"/>
    </row>
    <row r="357" spans="1:24" ht="13.8" x14ac:dyDescent="0.3">
      <c r="A357" s="225"/>
      <c r="B357" s="225"/>
      <c r="C357" s="225"/>
      <c r="D357" s="225"/>
      <c r="E357" s="225"/>
      <c r="F357" s="225"/>
      <c r="G357" s="225"/>
      <c r="H357" s="225"/>
      <c r="I357" s="225"/>
      <c r="J357" s="225"/>
      <c r="K357" s="225"/>
      <c r="L357" s="225"/>
      <c r="M357" s="225"/>
      <c r="N357" s="225"/>
      <c r="O357" s="225"/>
      <c r="P357" s="225"/>
      <c r="Q357" s="225"/>
      <c r="R357" s="225"/>
      <c r="S357" s="225"/>
      <c r="T357" s="225"/>
      <c r="U357" s="225"/>
      <c r="V357" s="225"/>
      <c r="W357" s="225"/>
      <c r="X357" s="225"/>
    </row>
    <row r="358" spans="1:24" ht="13.8" x14ac:dyDescent="0.3">
      <c r="A358" s="225"/>
      <c r="B358" s="225"/>
      <c r="C358" s="225"/>
      <c r="D358" s="225"/>
      <c r="E358" s="225"/>
      <c r="F358" s="225"/>
      <c r="G358" s="225"/>
      <c r="H358" s="225"/>
      <c r="I358" s="225"/>
      <c r="J358" s="225"/>
      <c r="K358" s="225"/>
      <c r="L358" s="225"/>
      <c r="M358" s="225"/>
      <c r="N358" s="225"/>
      <c r="O358" s="225"/>
      <c r="P358" s="225"/>
      <c r="Q358" s="225"/>
      <c r="R358" s="225"/>
      <c r="S358" s="225"/>
      <c r="T358" s="225"/>
      <c r="U358" s="225"/>
      <c r="V358" s="225"/>
      <c r="W358" s="225"/>
      <c r="X358" s="225"/>
    </row>
    <row r="359" spans="1:24" ht="13.8" x14ac:dyDescent="0.3">
      <c r="A359" s="225"/>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row>
    <row r="360" spans="1:24" ht="13.8" x14ac:dyDescent="0.3">
      <c r="A360" s="225"/>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row>
    <row r="361" spans="1:24" ht="13.8" x14ac:dyDescent="0.3">
      <c r="A361" s="225"/>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row>
    <row r="362" spans="1:24" ht="13.8" x14ac:dyDescent="0.3">
      <c r="A362" s="225"/>
      <c r="B362" s="225"/>
      <c r="C362" s="225"/>
      <c r="D362" s="225"/>
      <c r="E362" s="225"/>
      <c r="F362" s="225"/>
      <c r="G362" s="225"/>
      <c r="H362" s="225"/>
      <c r="I362" s="225"/>
      <c r="J362" s="225"/>
      <c r="K362" s="225"/>
      <c r="L362" s="225"/>
      <c r="M362" s="225"/>
      <c r="N362" s="225"/>
      <c r="O362" s="225"/>
      <c r="P362" s="225"/>
      <c r="Q362" s="225"/>
      <c r="R362" s="225"/>
      <c r="S362" s="225"/>
      <c r="T362" s="225"/>
      <c r="U362" s="225"/>
      <c r="V362" s="225"/>
      <c r="W362" s="225"/>
      <c r="X362" s="225"/>
    </row>
    <row r="363" spans="1:24" ht="13.8" x14ac:dyDescent="0.3">
      <c r="A363" s="225"/>
      <c r="B363" s="225"/>
      <c r="C363" s="225"/>
      <c r="D363" s="225"/>
      <c r="E363" s="225"/>
      <c r="F363" s="225"/>
      <c r="G363" s="225"/>
      <c r="H363" s="225"/>
      <c r="I363" s="225"/>
      <c r="J363" s="225"/>
      <c r="K363" s="225"/>
      <c r="L363" s="225"/>
      <c r="M363" s="225"/>
      <c r="N363" s="225"/>
      <c r="O363" s="225"/>
      <c r="P363" s="225"/>
      <c r="Q363" s="225"/>
      <c r="R363" s="225"/>
      <c r="S363" s="225"/>
      <c r="T363" s="225"/>
      <c r="U363" s="225"/>
      <c r="V363" s="225"/>
      <c r="W363" s="225"/>
      <c r="X363" s="225"/>
    </row>
    <row r="364" spans="1:24" ht="13.8" x14ac:dyDescent="0.3">
      <c r="A364" s="225"/>
      <c r="B364" s="225"/>
      <c r="C364" s="225"/>
      <c r="D364" s="225"/>
      <c r="E364" s="225"/>
      <c r="F364" s="225"/>
      <c r="G364" s="225"/>
      <c r="H364" s="225"/>
      <c r="I364" s="225"/>
      <c r="J364" s="225"/>
      <c r="K364" s="225"/>
      <c r="L364" s="225"/>
      <c r="M364" s="225"/>
      <c r="N364" s="225"/>
      <c r="O364" s="225"/>
      <c r="P364" s="225"/>
      <c r="Q364" s="225"/>
      <c r="R364" s="225"/>
      <c r="S364" s="225"/>
      <c r="T364" s="225"/>
      <c r="U364" s="225"/>
      <c r="V364" s="225"/>
      <c r="W364" s="225"/>
      <c r="X364" s="225"/>
    </row>
    <row r="365" spans="1:24" ht="13.8" x14ac:dyDescent="0.3">
      <c r="A365" s="225"/>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row>
    <row r="366" spans="1:24" ht="13.8" x14ac:dyDescent="0.3">
      <c r="A366" s="225"/>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row>
    <row r="367" spans="1:24" ht="13.8" x14ac:dyDescent="0.3">
      <c r="A367" s="225"/>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row>
    <row r="368" spans="1:24" ht="13.8" x14ac:dyDescent="0.3">
      <c r="A368" s="225"/>
      <c r="B368" s="225"/>
      <c r="C368" s="225"/>
      <c r="D368" s="225"/>
      <c r="E368" s="225"/>
      <c r="F368" s="225"/>
      <c r="G368" s="225"/>
      <c r="H368" s="225"/>
      <c r="I368" s="225"/>
      <c r="J368" s="225"/>
      <c r="K368" s="225"/>
      <c r="L368" s="225"/>
      <c r="M368" s="225"/>
      <c r="N368" s="225"/>
      <c r="O368" s="225"/>
      <c r="P368" s="225"/>
      <c r="Q368" s="225"/>
      <c r="R368" s="225"/>
      <c r="S368" s="225"/>
      <c r="T368" s="225"/>
      <c r="U368" s="225"/>
      <c r="V368" s="225"/>
      <c r="W368" s="225"/>
      <c r="X368" s="225"/>
    </row>
    <row r="369" spans="1:24" ht="13.8" x14ac:dyDescent="0.3">
      <c r="A369" s="225"/>
      <c r="B369" s="225"/>
      <c r="C369" s="225"/>
      <c r="D369" s="225"/>
      <c r="E369" s="225"/>
      <c r="F369" s="225"/>
      <c r="G369" s="225"/>
      <c r="H369" s="225"/>
      <c r="I369" s="225"/>
      <c r="J369" s="225"/>
      <c r="K369" s="225"/>
      <c r="L369" s="225"/>
      <c r="M369" s="225"/>
      <c r="N369" s="225"/>
      <c r="O369" s="225"/>
      <c r="P369" s="225"/>
      <c r="Q369" s="225"/>
      <c r="R369" s="225"/>
      <c r="S369" s="225"/>
      <c r="T369" s="225"/>
      <c r="U369" s="225"/>
      <c r="V369" s="225"/>
      <c r="W369" s="225"/>
      <c r="X369" s="225"/>
    </row>
    <row r="370" spans="1:24" ht="13.8" x14ac:dyDescent="0.3">
      <c r="A370" s="225"/>
      <c r="B370" s="225"/>
      <c r="C370" s="225"/>
      <c r="D370" s="225"/>
      <c r="E370" s="225"/>
      <c r="F370" s="225"/>
      <c r="G370" s="225"/>
      <c r="H370" s="225"/>
      <c r="I370" s="225"/>
      <c r="J370" s="225"/>
      <c r="K370" s="225"/>
      <c r="L370" s="225"/>
      <c r="M370" s="225"/>
      <c r="N370" s="225"/>
      <c r="O370" s="225"/>
      <c r="P370" s="225"/>
      <c r="Q370" s="225"/>
      <c r="R370" s="225"/>
      <c r="S370" s="225"/>
      <c r="T370" s="225"/>
      <c r="U370" s="225"/>
      <c r="V370" s="225"/>
      <c r="W370" s="225"/>
      <c r="X370" s="225"/>
    </row>
    <row r="371" spans="1:24" ht="13.8" x14ac:dyDescent="0.3">
      <c r="A371" s="225"/>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row>
    <row r="372" spans="1:24" ht="13.8" x14ac:dyDescent="0.3">
      <c r="A372" s="225"/>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row>
    <row r="373" spans="1:24" ht="13.8" x14ac:dyDescent="0.3">
      <c r="A373" s="225"/>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row>
    <row r="374" spans="1:24" ht="13.8" x14ac:dyDescent="0.3">
      <c r="A374" s="225"/>
      <c r="B374" s="225"/>
      <c r="C374" s="225"/>
      <c r="D374" s="225"/>
      <c r="E374" s="225"/>
      <c r="F374" s="225"/>
      <c r="G374" s="225"/>
      <c r="H374" s="225"/>
      <c r="I374" s="225"/>
      <c r="J374" s="225"/>
      <c r="K374" s="225"/>
      <c r="L374" s="225"/>
      <c r="M374" s="225"/>
      <c r="N374" s="225"/>
      <c r="O374" s="225"/>
      <c r="P374" s="225"/>
      <c r="Q374" s="225"/>
      <c r="R374" s="225"/>
      <c r="S374" s="225"/>
      <c r="T374" s="225"/>
      <c r="U374" s="225"/>
      <c r="V374" s="225"/>
      <c r="W374" s="225"/>
      <c r="X374" s="225"/>
    </row>
    <row r="375" spans="1:24" ht="13.8" x14ac:dyDescent="0.3">
      <c r="A375" s="225"/>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row>
    <row r="376" spans="1:24" ht="13.8" x14ac:dyDescent="0.3">
      <c r="A376" s="225"/>
      <c r="B376" s="225"/>
      <c r="C376" s="225"/>
      <c r="D376" s="225"/>
      <c r="E376" s="225"/>
      <c r="F376" s="225"/>
      <c r="G376" s="225"/>
      <c r="H376" s="225"/>
      <c r="I376" s="225"/>
      <c r="J376" s="225"/>
      <c r="K376" s="225"/>
      <c r="L376" s="225"/>
      <c r="M376" s="225"/>
      <c r="N376" s="225"/>
      <c r="O376" s="225"/>
      <c r="P376" s="225"/>
      <c r="Q376" s="225"/>
      <c r="R376" s="225"/>
      <c r="S376" s="225"/>
      <c r="T376" s="225"/>
      <c r="U376" s="225"/>
      <c r="V376" s="225"/>
      <c r="W376" s="225"/>
      <c r="X376" s="225"/>
    </row>
    <row r="377" spans="1:24" ht="13.8" x14ac:dyDescent="0.3">
      <c r="A377" s="225"/>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row>
    <row r="378" spans="1:24" ht="13.8" x14ac:dyDescent="0.3">
      <c r="A378" s="225"/>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row>
    <row r="379" spans="1:24" ht="13.8" x14ac:dyDescent="0.3">
      <c r="A379" s="225"/>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row>
    <row r="380" spans="1:24" ht="13.8" x14ac:dyDescent="0.3">
      <c r="A380" s="225"/>
      <c r="B380" s="225"/>
      <c r="C380" s="225"/>
      <c r="D380" s="225"/>
      <c r="E380" s="225"/>
      <c r="F380" s="225"/>
      <c r="G380" s="225"/>
      <c r="H380" s="225"/>
      <c r="I380" s="225"/>
      <c r="J380" s="225"/>
      <c r="K380" s="225"/>
      <c r="L380" s="225"/>
      <c r="M380" s="225"/>
      <c r="N380" s="225"/>
      <c r="O380" s="225"/>
      <c r="P380" s="225"/>
      <c r="Q380" s="225"/>
      <c r="R380" s="225"/>
      <c r="S380" s="225"/>
      <c r="T380" s="225"/>
      <c r="U380" s="225"/>
      <c r="V380" s="225"/>
      <c r="W380" s="225"/>
      <c r="X380" s="225"/>
    </row>
    <row r="381" spans="1:24" ht="13.8" x14ac:dyDescent="0.3">
      <c r="A381" s="225"/>
      <c r="B381" s="225"/>
      <c r="C381" s="225"/>
      <c r="D381" s="225"/>
      <c r="E381" s="225"/>
      <c r="F381" s="225"/>
      <c r="G381" s="225"/>
      <c r="H381" s="225"/>
      <c r="I381" s="225"/>
      <c r="J381" s="225"/>
      <c r="K381" s="225"/>
      <c r="L381" s="225"/>
      <c r="M381" s="225"/>
      <c r="N381" s="225"/>
      <c r="O381" s="225"/>
      <c r="P381" s="225"/>
      <c r="Q381" s="225"/>
      <c r="R381" s="225"/>
      <c r="S381" s="225"/>
      <c r="T381" s="225"/>
      <c r="U381" s="225"/>
      <c r="V381" s="225"/>
      <c r="W381" s="225"/>
      <c r="X381" s="225"/>
    </row>
    <row r="382" spans="1:24" ht="13.8" x14ac:dyDescent="0.3">
      <c r="A382" s="225"/>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row>
    <row r="383" spans="1:24" ht="13.8" x14ac:dyDescent="0.3">
      <c r="A383" s="225"/>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row>
    <row r="384" spans="1:24" ht="13.8" x14ac:dyDescent="0.3">
      <c r="A384" s="225"/>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row>
    <row r="385" spans="1:24" ht="13.8" x14ac:dyDescent="0.3">
      <c r="A385" s="225"/>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row>
    <row r="386" spans="1:24" ht="13.8" x14ac:dyDescent="0.3">
      <c r="A386" s="225"/>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row>
    <row r="387" spans="1:24" ht="13.8" x14ac:dyDescent="0.3">
      <c r="A387" s="225"/>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row>
    <row r="388" spans="1:24" ht="13.8" x14ac:dyDescent="0.3">
      <c r="A388" s="225"/>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row>
    <row r="389" spans="1:24" ht="13.8" x14ac:dyDescent="0.3">
      <c r="A389" s="225"/>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row>
    <row r="390" spans="1:24" ht="13.8" x14ac:dyDescent="0.3">
      <c r="A390" s="225"/>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row>
    <row r="391" spans="1:24" ht="13.8" x14ac:dyDescent="0.3">
      <c r="A391" s="225"/>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row>
    <row r="392" spans="1:24" ht="13.8" x14ac:dyDescent="0.3">
      <c r="A392" s="225"/>
      <c r="B392" s="225"/>
      <c r="C392" s="225"/>
      <c r="D392" s="225"/>
      <c r="E392" s="225"/>
      <c r="F392" s="225"/>
      <c r="G392" s="225"/>
      <c r="H392" s="225"/>
      <c r="I392" s="225"/>
      <c r="J392" s="225"/>
      <c r="K392" s="225"/>
      <c r="L392" s="225"/>
      <c r="M392" s="225"/>
      <c r="N392" s="225"/>
      <c r="O392" s="225"/>
      <c r="P392" s="225"/>
      <c r="Q392" s="225"/>
      <c r="R392" s="225"/>
      <c r="S392" s="225"/>
      <c r="T392" s="225"/>
      <c r="U392" s="225"/>
      <c r="V392" s="225"/>
      <c r="W392" s="225"/>
      <c r="X392" s="225"/>
    </row>
    <row r="393" spans="1:24" ht="13.8" x14ac:dyDescent="0.3">
      <c r="A393" s="225"/>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row>
    <row r="394" spans="1:24" ht="13.8" x14ac:dyDescent="0.3">
      <c r="A394" s="225"/>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row>
    <row r="395" spans="1:24" ht="13.8" x14ac:dyDescent="0.3">
      <c r="A395" s="225"/>
      <c r="B395" s="225"/>
      <c r="C395" s="225"/>
      <c r="D395" s="225"/>
      <c r="E395" s="225"/>
      <c r="F395" s="225"/>
      <c r="G395" s="225"/>
      <c r="H395" s="225"/>
      <c r="I395" s="225"/>
      <c r="J395" s="225"/>
      <c r="K395" s="225"/>
      <c r="L395" s="225"/>
      <c r="M395" s="225"/>
      <c r="N395" s="225"/>
      <c r="O395" s="225"/>
      <c r="P395" s="225"/>
      <c r="Q395" s="225"/>
      <c r="R395" s="225"/>
      <c r="S395" s="225"/>
      <c r="T395" s="225"/>
      <c r="U395" s="225"/>
      <c r="V395" s="225"/>
      <c r="W395" s="225"/>
      <c r="X395" s="225"/>
    </row>
    <row r="396" spans="1:24" ht="13.8" x14ac:dyDescent="0.3">
      <c r="A396" s="225"/>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row>
    <row r="397" spans="1:24" ht="13.8" x14ac:dyDescent="0.3">
      <c r="A397" s="225"/>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row>
    <row r="398" spans="1:24" ht="13.8" x14ac:dyDescent="0.3">
      <c r="A398" s="225"/>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row>
    <row r="399" spans="1:24" ht="13.8" x14ac:dyDescent="0.3">
      <c r="A399" s="225"/>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row>
    <row r="400" spans="1:24" ht="13.8" x14ac:dyDescent="0.3">
      <c r="A400" s="225"/>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row>
    <row r="401" spans="1:24" ht="13.8" x14ac:dyDescent="0.3">
      <c r="A401" s="225"/>
      <c r="B401" s="225"/>
      <c r="C401" s="225"/>
      <c r="D401" s="225"/>
      <c r="E401" s="225"/>
      <c r="F401" s="225"/>
      <c r="G401" s="225"/>
      <c r="H401" s="225"/>
      <c r="I401" s="225"/>
      <c r="J401" s="225"/>
      <c r="K401" s="225"/>
      <c r="L401" s="225"/>
      <c r="M401" s="225"/>
      <c r="N401" s="225"/>
      <c r="O401" s="225"/>
      <c r="P401" s="225"/>
      <c r="Q401" s="225"/>
      <c r="R401" s="225"/>
      <c r="S401" s="225"/>
      <c r="T401" s="225"/>
      <c r="U401" s="225"/>
      <c r="V401" s="225"/>
      <c r="W401" s="225"/>
      <c r="X401" s="225"/>
    </row>
    <row r="402" spans="1:24" ht="13.8" x14ac:dyDescent="0.3">
      <c r="A402" s="225"/>
      <c r="B402" s="225"/>
      <c r="C402" s="225"/>
      <c r="D402" s="225"/>
      <c r="E402" s="225"/>
      <c r="F402" s="225"/>
      <c r="G402" s="225"/>
      <c r="H402" s="225"/>
      <c r="I402" s="225"/>
      <c r="J402" s="225"/>
      <c r="K402" s="225"/>
      <c r="L402" s="225"/>
      <c r="M402" s="225"/>
      <c r="N402" s="225"/>
      <c r="O402" s="225"/>
      <c r="P402" s="225"/>
      <c r="Q402" s="225"/>
      <c r="R402" s="225"/>
      <c r="S402" s="225"/>
      <c r="T402" s="225"/>
      <c r="U402" s="225"/>
      <c r="V402" s="225"/>
      <c r="W402" s="225"/>
      <c r="X402" s="225"/>
    </row>
    <row r="403" spans="1:24" ht="13.8" x14ac:dyDescent="0.3">
      <c r="A403" s="225"/>
      <c r="B403" s="225"/>
      <c r="C403" s="225"/>
      <c r="D403" s="225"/>
      <c r="E403" s="225"/>
      <c r="F403" s="225"/>
      <c r="G403" s="225"/>
      <c r="H403" s="225"/>
      <c r="I403" s="225"/>
      <c r="J403" s="225"/>
      <c r="K403" s="225"/>
      <c r="L403" s="225"/>
      <c r="M403" s="225"/>
      <c r="N403" s="225"/>
      <c r="O403" s="225"/>
      <c r="P403" s="225"/>
      <c r="Q403" s="225"/>
      <c r="R403" s="225"/>
      <c r="S403" s="225"/>
      <c r="T403" s="225"/>
      <c r="U403" s="225"/>
      <c r="V403" s="225"/>
      <c r="W403" s="225"/>
      <c r="X403" s="225"/>
    </row>
    <row r="404" spans="1:24" ht="13.8" x14ac:dyDescent="0.3">
      <c r="A404" s="225"/>
      <c r="B404" s="225"/>
      <c r="C404" s="225"/>
      <c r="D404" s="225"/>
      <c r="E404" s="225"/>
      <c r="F404" s="225"/>
      <c r="G404" s="225"/>
      <c r="H404" s="225"/>
      <c r="I404" s="225"/>
      <c r="J404" s="225"/>
      <c r="K404" s="225"/>
      <c r="L404" s="225"/>
      <c r="M404" s="225"/>
      <c r="N404" s="225"/>
      <c r="O404" s="225"/>
      <c r="P404" s="225"/>
      <c r="Q404" s="225"/>
      <c r="R404" s="225"/>
      <c r="S404" s="225"/>
      <c r="T404" s="225"/>
      <c r="U404" s="225"/>
      <c r="V404" s="225"/>
      <c r="W404" s="225"/>
      <c r="X404" s="225"/>
    </row>
    <row r="405" spans="1:24" ht="13.8" x14ac:dyDescent="0.3">
      <c r="A405" s="225"/>
      <c r="B405" s="225"/>
      <c r="C405" s="225"/>
      <c r="D405" s="225"/>
      <c r="E405" s="225"/>
      <c r="F405" s="225"/>
      <c r="G405" s="225"/>
      <c r="H405" s="225"/>
      <c r="I405" s="225"/>
      <c r="J405" s="225"/>
      <c r="K405" s="225"/>
      <c r="L405" s="225"/>
      <c r="M405" s="225"/>
      <c r="N405" s="225"/>
      <c r="O405" s="225"/>
      <c r="P405" s="225"/>
      <c r="Q405" s="225"/>
      <c r="R405" s="225"/>
      <c r="S405" s="225"/>
      <c r="T405" s="225"/>
      <c r="U405" s="225"/>
      <c r="V405" s="225"/>
      <c r="W405" s="225"/>
      <c r="X405" s="225"/>
    </row>
    <row r="406" spans="1:24" ht="13.8" x14ac:dyDescent="0.3">
      <c r="A406" s="225"/>
      <c r="B406" s="225"/>
      <c r="C406" s="225"/>
      <c r="D406" s="225"/>
      <c r="E406" s="225"/>
      <c r="F406" s="225"/>
      <c r="G406" s="225"/>
      <c r="H406" s="225"/>
      <c r="I406" s="225"/>
      <c r="J406" s="225"/>
      <c r="K406" s="225"/>
      <c r="L406" s="225"/>
      <c r="M406" s="225"/>
      <c r="N406" s="225"/>
      <c r="O406" s="225"/>
      <c r="P406" s="225"/>
      <c r="Q406" s="225"/>
      <c r="R406" s="225"/>
      <c r="S406" s="225"/>
      <c r="T406" s="225"/>
      <c r="U406" s="225"/>
      <c r="V406" s="225"/>
      <c r="W406" s="225"/>
      <c r="X406" s="225"/>
    </row>
    <row r="407" spans="1:24" ht="13.8" x14ac:dyDescent="0.3">
      <c r="A407" s="225"/>
      <c r="B407" s="225"/>
      <c r="C407" s="225"/>
      <c r="D407" s="225"/>
      <c r="E407" s="225"/>
      <c r="F407" s="225"/>
      <c r="G407" s="225"/>
      <c r="H407" s="225"/>
      <c r="I407" s="225"/>
      <c r="J407" s="225"/>
      <c r="K407" s="225"/>
      <c r="L407" s="225"/>
      <c r="M407" s="225"/>
      <c r="N407" s="225"/>
      <c r="O407" s="225"/>
      <c r="P407" s="225"/>
      <c r="Q407" s="225"/>
      <c r="R407" s="225"/>
      <c r="S407" s="225"/>
      <c r="T407" s="225"/>
      <c r="U407" s="225"/>
      <c r="V407" s="225"/>
      <c r="W407" s="225"/>
      <c r="X407" s="225"/>
    </row>
    <row r="408" spans="1:24" ht="13.8" x14ac:dyDescent="0.3">
      <c r="A408" s="225"/>
      <c r="B408" s="225"/>
      <c r="C408" s="225"/>
      <c r="D408" s="225"/>
      <c r="E408" s="225"/>
      <c r="F408" s="225"/>
      <c r="G408" s="225"/>
      <c r="H408" s="225"/>
      <c r="I408" s="225"/>
      <c r="J408" s="225"/>
      <c r="K408" s="225"/>
      <c r="L408" s="225"/>
      <c r="M408" s="225"/>
      <c r="N408" s="225"/>
      <c r="O408" s="225"/>
      <c r="P408" s="225"/>
      <c r="Q408" s="225"/>
      <c r="R408" s="225"/>
      <c r="S408" s="225"/>
      <c r="T408" s="225"/>
      <c r="U408" s="225"/>
      <c r="V408" s="225"/>
      <c r="W408" s="225"/>
      <c r="X408" s="225"/>
    </row>
    <row r="409" spans="1:24" ht="13.8" x14ac:dyDescent="0.3">
      <c r="A409" s="225"/>
      <c r="B409" s="225"/>
      <c r="C409" s="225"/>
      <c r="D409" s="225"/>
      <c r="E409" s="225"/>
      <c r="F409" s="225"/>
      <c r="G409" s="225"/>
      <c r="H409" s="225"/>
      <c r="I409" s="225"/>
      <c r="J409" s="225"/>
      <c r="K409" s="225"/>
      <c r="L409" s="225"/>
      <c r="M409" s="225"/>
      <c r="N409" s="225"/>
      <c r="O409" s="225"/>
      <c r="P409" s="225"/>
      <c r="Q409" s="225"/>
      <c r="R409" s="225"/>
      <c r="S409" s="225"/>
      <c r="T409" s="225"/>
      <c r="U409" s="225"/>
      <c r="V409" s="225"/>
      <c r="W409" s="225"/>
      <c r="X409" s="225"/>
    </row>
    <row r="410" spans="1:24" ht="13.8" x14ac:dyDescent="0.3">
      <c r="A410" s="225"/>
      <c r="B410" s="225"/>
      <c r="C410" s="225"/>
      <c r="D410" s="225"/>
      <c r="E410" s="225"/>
      <c r="F410" s="225"/>
      <c r="G410" s="225"/>
      <c r="H410" s="225"/>
      <c r="I410" s="225"/>
      <c r="J410" s="225"/>
      <c r="K410" s="225"/>
      <c r="L410" s="225"/>
      <c r="M410" s="225"/>
      <c r="N410" s="225"/>
      <c r="O410" s="225"/>
      <c r="P410" s="225"/>
      <c r="Q410" s="225"/>
      <c r="R410" s="225"/>
      <c r="S410" s="225"/>
      <c r="T410" s="225"/>
      <c r="U410" s="225"/>
      <c r="V410" s="225"/>
      <c r="W410" s="225"/>
      <c r="X410" s="225"/>
    </row>
    <row r="411" spans="1:24" ht="13.8" x14ac:dyDescent="0.3">
      <c r="A411" s="225"/>
      <c r="B411" s="225"/>
      <c r="C411" s="225"/>
      <c r="D411" s="225"/>
      <c r="E411" s="225"/>
      <c r="F411" s="225"/>
      <c r="G411" s="225"/>
      <c r="H411" s="225"/>
      <c r="I411" s="225"/>
      <c r="J411" s="225"/>
      <c r="K411" s="225"/>
      <c r="L411" s="225"/>
      <c r="M411" s="225"/>
      <c r="N411" s="225"/>
      <c r="O411" s="225"/>
      <c r="P411" s="225"/>
      <c r="Q411" s="225"/>
      <c r="R411" s="225"/>
      <c r="S411" s="225"/>
      <c r="T411" s="225"/>
      <c r="U411" s="225"/>
      <c r="V411" s="225"/>
      <c r="W411" s="225"/>
      <c r="X411" s="225"/>
    </row>
    <row r="412" spans="1:24" ht="13.8" x14ac:dyDescent="0.3">
      <c r="A412" s="225"/>
      <c r="B412" s="225"/>
      <c r="C412" s="225"/>
      <c r="D412" s="225"/>
      <c r="E412" s="225"/>
      <c r="F412" s="225"/>
      <c r="G412" s="225"/>
      <c r="H412" s="225"/>
      <c r="I412" s="225"/>
      <c r="J412" s="225"/>
      <c r="K412" s="225"/>
      <c r="L412" s="225"/>
      <c r="M412" s="225"/>
      <c r="N412" s="225"/>
      <c r="O412" s="225"/>
      <c r="P412" s="225"/>
      <c r="Q412" s="225"/>
      <c r="R412" s="225"/>
      <c r="S412" s="225"/>
      <c r="T412" s="225"/>
      <c r="U412" s="225"/>
      <c r="V412" s="225"/>
      <c r="W412" s="225"/>
      <c r="X412" s="225"/>
    </row>
    <row r="413" spans="1:24" ht="13.8" x14ac:dyDescent="0.3">
      <c r="A413" s="225"/>
      <c r="B413" s="225"/>
      <c r="C413" s="225"/>
      <c r="D413" s="225"/>
      <c r="E413" s="225"/>
      <c r="F413" s="225"/>
      <c r="G413" s="225"/>
      <c r="H413" s="225"/>
      <c r="I413" s="225"/>
      <c r="J413" s="225"/>
      <c r="K413" s="225"/>
      <c r="L413" s="225"/>
      <c r="M413" s="225"/>
      <c r="N413" s="225"/>
      <c r="O413" s="225"/>
      <c r="P413" s="225"/>
      <c r="Q413" s="225"/>
      <c r="R413" s="225"/>
      <c r="S413" s="225"/>
      <c r="T413" s="225"/>
      <c r="U413" s="225"/>
      <c r="V413" s="225"/>
      <c r="W413" s="225"/>
      <c r="X413" s="225"/>
    </row>
    <row r="414" spans="1:24" ht="13.8" x14ac:dyDescent="0.3">
      <c r="A414" s="225"/>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row>
    <row r="415" spans="1:24" ht="13.8" x14ac:dyDescent="0.3">
      <c r="A415" s="225"/>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row>
    <row r="416" spans="1:24" ht="13.8" x14ac:dyDescent="0.3">
      <c r="A416" s="225"/>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row>
    <row r="417" spans="1:24" ht="13.8" x14ac:dyDescent="0.3">
      <c r="A417" s="225"/>
      <c r="B417" s="225"/>
      <c r="C417" s="225"/>
      <c r="D417" s="225"/>
      <c r="E417" s="225"/>
      <c r="F417" s="225"/>
      <c r="G417" s="225"/>
      <c r="H417" s="225"/>
      <c r="I417" s="225"/>
      <c r="J417" s="225"/>
      <c r="K417" s="225"/>
      <c r="L417" s="225"/>
      <c r="M417" s="225"/>
      <c r="N417" s="225"/>
      <c r="O417" s="225"/>
      <c r="P417" s="225"/>
      <c r="Q417" s="225"/>
      <c r="R417" s="225"/>
      <c r="S417" s="225"/>
      <c r="T417" s="225"/>
      <c r="U417" s="225"/>
      <c r="V417" s="225"/>
      <c r="W417" s="225"/>
      <c r="X417" s="225"/>
    </row>
    <row r="418" spans="1:24" ht="13.8" x14ac:dyDescent="0.3">
      <c r="A418" s="225"/>
      <c r="B418" s="225"/>
      <c r="C418" s="225"/>
      <c r="D418" s="225"/>
      <c r="E418" s="225"/>
      <c r="F418" s="225"/>
      <c r="G418" s="225"/>
      <c r="H418" s="225"/>
      <c r="I418" s="225"/>
      <c r="J418" s="225"/>
      <c r="K418" s="225"/>
      <c r="L418" s="225"/>
      <c r="M418" s="225"/>
      <c r="N418" s="225"/>
      <c r="O418" s="225"/>
      <c r="P418" s="225"/>
      <c r="Q418" s="225"/>
      <c r="R418" s="225"/>
      <c r="S418" s="225"/>
      <c r="T418" s="225"/>
      <c r="U418" s="225"/>
      <c r="V418" s="225"/>
      <c r="W418" s="225"/>
      <c r="X418" s="225"/>
    </row>
    <row r="419" spans="1:24" ht="13.8" x14ac:dyDescent="0.3">
      <c r="A419" s="225"/>
      <c r="B419" s="225"/>
      <c r="C419" s="225"/>
      <c r="D419" s="225"/>
      <c r="E419" s="225"/>
      <c r="F419" s="225"/>
      <c r="G419" s="225"/>
      <c r="H419" s="225"/>
      <c r="I419" s="225"/>
      <c r="J419" s="225"/>
      <c r="K419" s="225"/>
      <c r="L419" s="225"/>
      <c r="M419" s="225"/>
      <c r="N419" s="225"/>
      <c r="O419" s="225"/>
      <c r="P419" s="225"/>
      <c r="Q419" s="225"/>
      <c r="R419" s="225"/>
      <c r="S419" s="225"/>
      <c r="T419" s="225"/>
      <c r="U419" s="225"/>
      <c r="V419" s="225"/>
      <c r="W419" s="225"/>
      <c r="X419" s="225"/>
    </row>
    <row r="420" spans="1:24" ht="13.8" x14ac:dyDescent="0.3">
      <c r="A420" s="225"/>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row>
    <row r="421" spans="1:24" ht="13.8" x14ac:dyDescent="0.3">
      <c r="A421" s="225"/>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row>
    <row r="422" spans="1:24" ht="13.8" x14ac:dyDescent="0.3">
      <c r="A422" s="225"/>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row>
    <row r="423" spans="1:24" ht="13.8" x14ac:dyDescent="0.3">
      <c r="A423" s="225"/>
      <c r="B423" s="225"/>
      <c r="C423" s="225"/>
      <c r="D423" s="225"/>
      <c r="E423" s="225"/>
      <c r="F423" s="225"/>
      <c r="G423" s="225"/>
      <c r="H423" s="225"/>
      <c r="I423" s="225"/>
      <c r="J423" s="225"/>
      <c r="K423" s="225"/>
      <c r="L423" s="225"/>
      <c r="M423" s="225"/>
      <c r="N423" s="225"/>
      <c r="O423" s="225"/>
      <c r="P423" s="225"/>
      <c r="Q423" s="225"/>
      <c r="R423" s="225"/>
      <c r="S423" s="225"/>
      <c r="T423" s="225"/>
      <c r="U423" s="225"/>
      <c r="V423" s="225"/>
      <c r="W423" s="225"/>
      <c r="X423" s="225"/>
    </row>
    <row r="424" spans="1:24" ht="13.8" x14ac:dyDescent="0.3">
      <c r="A424" s="225"/>
      <c r="B424" s="225"/>
      <c r="C424" s="225"/>
      <c r="D424" s="225"/>
      <c r="E424" s="225"/>
      <c r="F424" s="225"/>
      <c r="G424" s="225"/>
      <c r="H424" s="225"/>
      <c r="I424" s="225"/>
      <c r="J424" s="225"/>
      <c r="K424" s="225"/>
      <c r="L424" s="225"/>
      <c r="M424" s="225"/>
      <c r="N424" s="225"/>
      <c r="O424" s="225"/>
      <c r="P424" s="225"/>
      <c r="Q424" s="225"/>
      <c r="R424" s="225"/>
      <c r="S424" s="225"/>
      <c r="T424" s="225"/>
      <c r="U424" s="225"/>
      <c r="V424" s="225"/>
      <c r="W424" s="225"/>
      <c r="X424" s="225"/>
    </row>
    <row r="425" spans="1:24" ht="13.8" x14ac:dyDescent="0.3">
      <c r="A425" s="225"/>
      <c r="B425" s="225"/>
      <c r="C425" s="225"/>
      <c r="D425" s="225"/>
      <c r="E425" s="225"/>
      <c r="F425" s="225"/>
      <c r="G425" s="225"/>
      <c r="H425" s="225"/>
      <c r="I425" s="225"/>
      <c r="J425" s="225"/>
      <c r="K425" s="225"/>
      <c r="L425" s="225"/>
      <c r="M425" s="225"/>
      <c r="N425" s="225"/>
      <c r="O425" s="225"/>
      <c r="P425" s="225"/>
      <c r="Q425" s="225"/>
      <c r="R425" s="225"/>
      <c r="S425" s="225"/>
      <c r="T425" s="225"/>
      <c r="U425" s="225"/>
      <c r="V425" s="225"/>
      <c r="W425" s="225"/>
      <c r="X425" s="225"/>
    </row>
    <row r="426" spans="1:24" ht="13.8" x14ac:dyDescent="0.3">
      <c r="A426" s="225"/>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row>
    <row r="427" spans="1:24" ht="13.8" x14ac:dyDescent="0.3">
      <c r="A427" s="225"/>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row>
    <row r="428" spans="1:24" ht="13.8" x14ac:dyDescent="0.3">
      <c r="A428" s="225"/>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row>
    <row r="429" spans="1:24" ht="13.8" x14ac:dyDescent="0.3">
      <c r="A429" s="225"/>
      <c r="B429" s="225"/>
      <c r="C429" s="225"/>
      <c r="D429" s="225"/>
      <c r="E429" s="225"/>
      <c r="F429" s="225"/>
      <c r="G429" s="225"/>
      <c r="H429" s="225"/>
      <c r="I429" s="225"/>
      <c r="J429" s="225"/>
      <c r="K429" s="225"/>
      <c r="L429" s="225"/>
      <c r="M429" s="225"/>
      <c r="N429" s="225"/>
      <c r="O429" s="225"/>
      <c r="P429" s="225"/>
      <c r="Q429" s="225"/>
      <c r="R429" s="225"/>
      <c r="S429" s="225"/>
      <c r="T429" s="225"/>
      <c r="U429" s="225"/>
      <c r="V429" s="225"/>
      <c r="W429" s="225"/>
      <c r="X429" s="225"/>
    </row>
    <row r="430" spans="1:24" ht="13.8" x14ac:dyDescent="0.3">
      <c r="A430" s="225"/>
      <c r="B430" s="225"/>
      <c r="C430" s="225"/>
      <c r="D430" s="225"/>
      <c r="E430" s="225"/>
      <c r="F430" s="225"/>
      <c r="G430" s="225"/>
      <c r="H430" s="225"/>
      <c r="I430" s="225"/>
      <c r="J430" s="225"/>
      <c r="K430" s="225"/>
      <c r="L430" s="225"/>
      <c r="M430" s="225"/>
      <c r="N430" s="225"/>
      <c r="O430" s="225"/>
      <c r="P430" s="225"/>
      <c r="Q430" s="225"/>
      <c r="R430" s="225"/>
      <c r="S430" s="225"/>
      <c r="T430" s="225"/>
      <c r="U430" s="225"/>
      <c r="V430" s="225"/>
      <c r="W430" s="225"/>
      <c r="X430" s="225"/>
    </row>
    <row r="431" spans="1:24" ht="13.8" x14ac:dyDescent="0.3">
      <c r="A431" s="225"/>
      <c r="B431" s="225"/>
      <c r="C431" s="225"/>
      <c r="D431" s="225"/>
      <c r="E431" s="225"/>
      <c r="F431" s="225"/>
      <c r="G431" s="225"/>
      <c r="H431" s="225"/>
      <c r="I431" s="225"/>
      <c r="J431" s="225"/>
      <c r="K431" s="225"/>
      <c r="L431" s="225"/>
      <c r="M431" s="225"/>
      <c r="N431" s="225"/>
      <c r="O431" s="225"/>
      <c r="P431" s="225"/>
      <c r="Q431" s="225"/>
      <c r="R431" s="225"/>
      <c r="S431" s="225"/>
      <c r="T431" s="225"/>
      <c r="U431" s="225"/>
      <c r="V431" s="225"/>
      <c r="W431" s="225"/>
      <c r="X431" s="225"/>
    </row>
    <row r="432" spans="1:24" ht="13.8" x14ac:dyDescent="0.3">
      <c r="A432" s="225"/>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row>
    <row r="433" spans="1:24" ht="13.8" x14ac:dyDescent="0.3">
      <c r="A433" s="225"/>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row>
    <row r="434" spans="1:24" ht="13.8" x14ac:dyDescent="0.3">
      <c r="A434" s="225"/>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row>
    <row r="435" spans="1:24" ht="13.8" x14ac:dyDescent="0.3">
      <c r="A435" s="225"/>
      <c r="B435" s="225"/>
      <c r="C435" s="225"/>
      <c r="D435" s="225"/>
      <c r="E435" s="225"/>
      <c r="F435" s="225"/>
      <c r="G435" s="225"/>
      <c r="H435" s="225"/>
      <c r="I435" s="225"/>
      <c r="J435" s="225"/>
      <c r="K435" s="225"/>
      <c r="L435" s="225"/>
      <c r="M435" s="225"/>
      <c r="N435" s="225"/>
      <c r="O435" s="225"/>
      <c r="P435" s="225"/>
      <c r="Q435" s="225"/>
      <c r="R435" s="225"/>
      <c r="S435" s="225"/>
      <c r="T435" s="225"/>
      <c r="U435" s="225"/>
      <c r="V435" s="225"/>
      <c r="W435" s="225"/>
      <c r="X435" s="225"/>
    </row>
    <row r="436" spans="1:24" ht="13.8" x14ac:dyDescent="0.3">
      <c r="A436" s="225"/>
      <c r="B436" s="225"/>
      <c r="C436" s="225"/>
      <c r="D436" s="225"/>
      <c r="E436" s="225"/>
      <c r="F436" s="225"/>
      <c r="G436" s="225"/>
      <c r="H436" s="225"/>
      <c r="I436" s="225"/>
      <c r="J436" s="225"/>
      <c r="K436" s="225"/>
      <c r="L436" s="225"/>
      <c r="M436" s="225"/>
      <c r="N436" s="225"/>
      <c r="O436" s="225"/>
      <c r="P436" s="225"/>
      <c r="Q436" s="225"/>
      <c r="R436" s="225"/>
      <c r="S436" s="225"/>
      <c r="T436" s="225"/>
      <c r="U436" s="225"/>
      <c r="V436" s="225"/>
      <c r="W436" s="225"/>
      <c r="X436" s="225"/>
    </row>
    <row r="437" spans="1:24" ht="13.8" x14ac:dyDescent="0.3">
      <c r="A437" s="225"/>
      <c r="B437" s="225"/>
      <c r="C437" s="225"/>
      <c r="D437" s="225"/>
      <c r="E437" s="225"/>
      <c r="F437" s="225"/>
      <c r="G437" s="225"/>
      <c r="H437" s="225"/>
      <c r="I437" s="225"/>
      <c r="J437" s="225"/>
      <c r="K437" s="225"/>
      <c r="L437" s="225"/>
      <c r="M437" s="225"/>
      <c r="N437" s="225"/>
      <c r="O437" s="225"/>
      <c r="P437" s="225"/>
      <c r="Q437" s="225"/>
      <c r="R437" s="225"/>
      <c r="S437" s="225"/>
      <c r="T437" s="225"/>
      <c r="U437" s="225"/>
      <c r="V437" s="225"/>
      <c r="W437" s="225"/>
      <c r="X437" s="225"/>
    </row>
    <row r="438" spans="1:24" ht="13.8" x14ac:dyDescent="0.3">
      <c r="A438" s="225"/>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row>
    <row r="439" spans="1:24" ht="13.8" x14ac:dyDescent="0.3">
      <c r="A439" s="225"/>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row>
    <row r="440" spans="1:24" ht="13.8" x14ac:dyDescent="0.3">
      <c r="A440" s="225"/>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row>
    <row r="441" spans="1:24" ht="13.8" x14ac:dyDescent="0.3">
      <c r="A441" s="225"/>
      <c r="B441" s="225"/>
      <c r="C441" s="225"/>
      <c r="D441" s="225"/>
      <c r="E441" s="225"/>
      <c r="F441" s="225"/>
      <c r="G441" s="225"/>
      <c r="H441" s="225"/>
      <c r="I441" s="225"/>
      <c r="J441" s="225"/>
      <c r="K441" s="225"/>
      <c r="L441" s="225"/>
      <c r="M441" s="225"/>
      <c r="N441" s="225"/>
      <c r="O441" s="225"/>
      <c r="P441" s="225"/>
      <c r="Q441" s="225"/>
      <c r="R441" s="225"/>
      <c r="S441" s="225"/>
      <c r="T441" s="225"/>
      <c r="U441" s="225"/>
      <c r="V441" s="225"/>
      <c r="W441" s="225"/>
      <c r="X441" s="225"/>
    </row>
    <row r="442" spans="1:24" ht="13.8" x14ac:dyDescent="0.3">
      <c r="A442" s="225"/>
      <c r="B442" s="225"/>
      <c r="C442" s="225"/>
      <c r="D442" s="225"/>
      <c r="E442" s="225"/>
      <c r="F442" s="225"/>
      <c r="G442" s="225"/>
      <c r="H442" s="225"/>
      <c r="I442" s="225"/>
      <c r="J442" s="225"/>
      <c r="K442" s="225"/>
      <c r="L442" s="225"/>
      <c r="M442" s="225"/>
      <c r="N442" s="225"/>
      <c r="O442" s="225"/>
      <c r="P442" s="225"/>
      <c r="Q442" s="225"/>
      <c r="R442" s="225"/>
      <c r="S442" s="225"/>
      <c r="T442" s="225"/>
      <c r="U442" s="225"/>
      <c r="V442" s="225"/>
      <c r="W442" s="225"/>
      <c r="X442" s="225"/>
    </row>
    <row r="443" spans="1:24" ht="13.8" x14ac:dyDescent="0.3">
      <c r="A443" s="225"/>
      <c r="B443" s="225"/>
      <c r="C443" s="225"/>
      <c r="D443" s="225"/>
      <c r="E443" s="225"/>
      <c r="F443" s="225"/>
      <c r="G443" s="225"/>
      <c r="H443" s="225"/>
      <c r="I443" s="225"/>
      <c r="J443" s="225"/>
      <c r="K443" s="225"/>
      <c r="L443" s="225"/>
      <c r="M443" s="225"/>
      <c r="N443" s="225"/>
      <c r="O443" s="225"/>
      <c r="P443" s="225"/>
      <c r="Q443" s="225"/>
      <c r="R443" s="225"/>
      <c r="S443" s="225"/>
      <c r="T443" s="225"/>
      <c r="U443" s="225"/>
      <c r="V443" s="225"/>
      <c r="W443" s="225"/>
      <c r="X443" s="225"/>
    </row>
    <row r="444" spans="1:24" ht="13.8" x14ac:dyDescent="0.3">
      <c r="A444" s="225"/>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row>
    <row r="445" spans="1:24" ht="13.8" x14ac:dyDescent="0.3">
      <c r="A445" s="225"/>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row>
    <row r="446" spans="1:24" ht="13.8" x14ac:dyDescent="0.3">
      <c r="A446" s="225"/>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row>
    <row r="447" spans="1:24" ht="13.8" x14ac:dyDescent="0.3">
      <c r="A447" s="225"/>
      <c r="B447" s="225"/>
      <c r="C447" s="225"/>
      <c r="D447" s="225"/>
      <c r="E447" s="225"/>
      <c r="F447" s="225"/>
      <c r="G447" s="225"/>
      <c r="H447" s="225"/>
      <c r="I447" s="225"/>
      <c r="J447" s="225"/>
      <c r="K447" s="225"/>
      <c r="L447" s="225"/>
      <c r="M447" s="225"/>
      <c r="N447" s="225"/>
      <c r="O447" s="225"/>
      <c r="P447" s="225"/>
      <c r="Q447" s="225"/>
      <c r="R447" s="225"/>
      <c r="S447" s="225"/>
      <c r="T447" s="225"/>
      <c r="U447" s="225"/>
      <c r="V447" s="225"/>
      <c r="W447" s="225"/>
      <c r="X447" s="225"/>
    </row>
    <row r="448" spans="1:24" ht="13.8" x14ac:dyDescent="0.3">
      <c r="A448" s="225"/>
      <c r="B448" s="225"/>
      <c r="C448" s="225"/>
      <c r="D448" s="225"/>
      <c r="E448" s="225"/>
      <c r="F448" s="225"/>
      <c r="G448" s="225"/>
      <c r="H448" s="225"/>
      <c r="I448" s="225"/>
      <c r="J448" s="225"/>
      <c r="K448" s="225"/>
      <c r="L448" s="225"/>
      <c r="M448" s="225"/>
      <c r="N448" s="225"/>
      <c r="O448" s="225"/>
      <c r="P448" s="225"/>
      <c r="Q448" s="225"/>
      <c r="R448" s="225"/>
      <c r="S448" s="225"/>
      <c r="T448" s="225"/>
      <c r="U448" s="225"/>
      <c r="V448" s="225"/>
      <c r="W448" s="225"/>
      <c r="X448" s="225"/>
    </row>
    <row r="449" spans="1:24" ht="13.8" x14ac:dyDescent="0.3">
      <c r="A449" s="225"/>
      <c r="B449" s="225"/>
      <c r="C449" s="225"/>
      <c r="D449" s="225"/>
      <c r="E449" s="225"/>
      <c r="F449" s="225"/>
      <c r="G449" s="225"/>
      <c r="H449" s="225"/>
      <c r="I449" s="225"/>
      <c r="J449" s="225"/>
      <c r="K449" s="225"/>
      <c r="L449" s="225"/>
      <c r="M449" s="225"/>
      <c r="N449" s="225"/>
      <c r="O449" s="225"/>
      <c r="P449" s="225"/>
      <c r="Q449" s="225"/>
      <c r="R449" s="225"/>
      <c r="S449" s="225"/>
      <c r="T449" s="225"/>
      <c r="U449" s="225"/>
      <c r="V449" s="225"/>
      <c r="W449" s="225"/>
      <c r="X449" s="225"/>
    </row>
    <row r="450" spans="1:24" ht="13.8" x14ac:dyDescent="0.3">
      <c r="A450" s="225"/>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row>
    <row r="451" spans="1:24" ht="13.8" x14ac:dyDescent="0.3">
      <c r="A451" s="225"/>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row>
    <row r="452" spans="1:24" ht="13.8" x14ac:dyDescent="0.3">
      <c r="A452" s="225"/>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row>
    <row r="453" spans="1:24" ht="13.8" x14ac:dyDescent="0.3">
      <c r="A453" s="225"/>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row>
    <row r="454" spans="1:24" ht="13.8" x14ac:dyDescent="0.3">
      <c r="A454" s="225"/>
      <c r="B454" s="225"/>
      <c r="C454" s="225"/>
      <c r="D454" s="225"/>
      <c r="E454" s="225"/>
      <c r="F454" s="225"/>
      <c r="G454" s="225"/>
      <c r="H454" s="225"/>
      <c r="I454" s="225"/>
      <c r="J454" s="225"/>
      <c r="K454" s="225"/>
      <c r="L454" s="225"/>
      <c r="M454" s="225"/>
      <c r="N454" s="225"/>
      <c r="O454" s="225"/>
      <c r="P454" s="225"/>
      <c r="Q454" s="225"/>
      <c r="R454" s="225"/>
      <c r="S454" s="225"/>
      <c r="T454" s="225"/>
      <c r="U454" s="225"/>
      <c r="V454" s="225"/>
      <c r="W454" s="225"/>
      <c r="X454" s="225"/>
    </row>
    <row r="455" spans="1:24" ht="13.8" x14ac:dyDescent="0.3">
      <c r="A455" s="225"/>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row>
    <row r="456" spans="1:24" ht="13.8" x14ac:dyDescent="0.3">
      <c r="A456" s="225"/>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row>
    <row r="457" spans="1:24" ht="13.8" x14ac:dyDescent="0.3">
      <c r="A457" s="225"/>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row>
    <row r="458" spans="1:24" ht="13.8" x14ac:dyDescent="0.3">
      <c r="A458" s="225"/>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row>
    <row r="459" spans="1:24" ht="13.8" x14ac:dyDescent="0.3">
      <c r="A459" s="225"/>
      <c r="B459" s="225"/>
      <c r="C459" s="225"/>
      <c r="D459" s="225"/>
      <c r="E459" s="225"/>
      <c r="F459" s="225"/>
      <c r="G459" s="225"/>
      <c r="H459" s="225"/>
      <c r="I459" s="225"/>
      <c r="J459" s="225"/>
      <c r="K459" s="225"/>
      <c r="L459" s="225"/>
      <c r="M459" s="225"/>
      <c r="N459" s="225"/>
      <c r="O459" s="225"/>
      <c r="P459" s="225"/>
      <c r="Q459" s="225"/>
      <c r="R459" s="225"/>
      <c r="S459" s="225"/>
      <c r="T459" s="225"/>
      <c r="U459" s="225"/>
      <c r="V459" s="225"/>
      <c r="W459" s="225"/>
      <c r="X459" s="225"/>
    </row>
    <row r="460" spans="1:24" ht="13.8" x14ac:dyDescent="0.3">
      <c r="A460" s="225"/>
      <c r="B460" s="225"/>
      <c r="C460" s="225"/>
      <c r="D460" s="225"/>
      <c r="E460" s="225"/>
      <c r="F460" s="225"/>
      <c r="G460" s="225"/>
      <c r="H460" s="225"/>
      <c r="I460" s="225"/>
      <c r="J460" s="225"/>
      <c r="K460" s="225"/>
      <c r="L460" s="225"/>
      <c r="M460" s="225"/>
      <c r="N460" s="225"/>
      <c r="O460" s="225"/>
      <c r="P460" s="225"/>
      <c r="Q460" s="225"/>
      <c r="R460" s="225"/>
      <c r="S460" s="225"/>
      <c r="T460" s="225"/>
      <c r="U460" s="225"/>
      <c r="V460" s="225"/>
      <c r="W460" s="225"/>
      <c r="X460" s="225"/>
    </row>
    <row r="461" spans="1:24" ht="13.8" x14ac:dyDescent="0.3">
      <c r="A461" s="225"/>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row>
    <row r="462" spans="1:24" ht="13.8" x14ac:dyDescent="0.3">
      <c r="A462" s="225"/>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row>
    <row r="463" spans="1:24" ht="13.8" x14ac:dyDescent="0.3">
      <c r="A463" s="225"/>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row>
    <row r="464" spans="1:24" ht="13.8" x14ac:dyDescent="0.3">
      <c r="A464" s="225"/>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row>
    <row r="465" spans="1:24" ht="13.8" x14ac:dyDescent="0.3">
      <c r="A465" s="225"/>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row>
    <row r="466" spans="1:24" ht="13.8" x14ac:dyDescent="0.3">
      <c r="A466" s="225"/>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row>
    <row r="467" spans="1:24" ht="13.8" x14ac:dyDescent="0.3">
      <c r="A467" s="225"/>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row>
    <row r="468" spans="1:24" ht="13.8" x14ac:dyDescent="0.3">
      <c r="A468" s="225"/>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row>
    <row r="469" spans="1:24" ht="13.8" x14ac:dyDescent="0.3">
      <c r="A469" s="225"/>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row>
    <row r="470" spans="1:24" ht="13.8" x14ac:dyDescent="0.3">
      <c r="A470" s="225"/>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row>
    <row r="471" spans="1:24" ht="13.8" x14ac:dyDescent="0.3">
      <c r="A471" s="225"/>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row>
    <row r="472" spans="1:24" ht="13.8" x14ac:dyDescent="0.3">
      <c r="A472" s="225"/>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row>
    <row r="473" spans="1:24" ht="13.8" x14ac:dyDescent="0.3">
      <c r="A473" s="225"/>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row>
    <row r="474" spans="1:24" ht="13.8" x14ac:dyDescent="0.3">
      <c r="A474" s="225"/>
      <c r="B474" s="225"/>
      <c r="C474" s="225"/>
      <c r="D474" s="225"/>
      <c r="E474" s="225"/>
      <c r="F474" s="225"/>
      <c r="G474" s="225"/>
      <c r="H474" s="225"/>
      <c r="I474" s="225"/>
      <c r="J474" s="225"/>
      <c r="K474" s="225"/>
      <c r="L474" s="225"/>
      <c r="M474" s="225"/>
      <c r="N474" s="225"/>
      <c r="O474" s="225"/>
      <c r="P474" s="225"/>
      <c r="Q474" s="225"/>
      <c r="R474" s="225"/>
      <c r="S474" s="225"/>
      <c r="T474" s="225"/>
      <c r="U474" s="225"/>
      <c r="V474" s="225"/>
      <c r="W474" s="225"/>
      <c r="X474" s="225"/>
    </row>
    <row r="475" spans="1:24" ht="13.8" x14ac:dyDescent="0.3">
      <c r="A475" s="225"/>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row>
    <row r="476" spans="1:24" ht="13.8" x14ac:dyDescent="0.3">
      <c r="A476" s="225"/>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row>
    <row r="477" spans="1:24" ht="13.8" x14ac:dyDescent="0.3">
      <c r="A477" s="225"/>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row>
    <row r="478" spans="1:24" ht="13.8" x14ac:dyDescent="0.3">
      <c r="A478" s="225"/>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row>
    <row r="479" spans="1:24" ht="13.8" x14ac:dyDescent="0.3">
      <c r="A479" s="225"/>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row>
    <row r="480" spans="1:24" ht="13.8" x14ac:dyDescent="0.3">
      <c r="A480" s="225"/>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row>
    <row r="481" spans="1:24" ht="13.8" x14ac:dyDescent="0.3">
      <c r="A481" s="225"/>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row>
    <row r="482" spans="1:24" ht="13.8" x14ac:dyDescent="0.3">
      <c r="A482" s="225"/>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row>
    <row r="483" spans="1:24" ht="13.8" x14ac:dyDescent="0.3">
      <c r="A483" s="225"/>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row>
    <row r="484" spans="1:24" ht="13.8" x14ac:dyDescent="0.3">
      <c r="A484" s="225"/>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row>
    <row r="485" spans="1:24" ht="13.8" x14ac:dyDescent="0.3">
      <c r="A485" s="225"/>
      <c r="B485" s="225"/>
      <c r="C485" s="225"/>
      <c r="D485" s="225"/>
      <c r="E485" s="225"/>
      <c r="F485" s="225"/>
      <c r="G485" s="225"/>
      <c r="H485" s="225"/>
      <c r="I485" s="225"/>
      <c r="J485" s="225"/>
      <c r="K485" s="225"/>
      <c r="L485" s="225"/>
      <c r="M485" s="225"/>
      <c r="N485" s="225"/>
      <c r="O485" s="225"/>
      <c r="P485" s="225"/>
      <c r="Q485" s="225"/>
      <c r="R485" s="225"/>
      <c r="S485" s="225"/>
      <c r="T485" s="225"/>
      <c r="U485" s="225"/>
      <c r="V485" s="225"/>
      <c r="W485" s="225"/>
      <c r="X485" s="225"/>
    </row>
    <row r="486" spans="1:24" ht="13.8" x14ac:dyDescent="0.3">
      <c r="A486" s="225"/>
      <c r="B486" s="225"/>
      <c r="C486" s="225"/>
      <c r="D486" s="225"/>
      <c r="E486" s="225"/>
      <c r="F486" s="225"/>
      <c r="G486" s="225"/>
      <c r="H486" s="225"/>
      <c r="I486" s="225"/>
      <c r="J486" s="225"/>
      <c r="K486" s="225"/>
      <c r="L486" s="225"/>
      <c r="M486" s="225"/>
      <c r="N486" s="225"/>
      <c r="O486" s="225"/>
      <c r="P486" s="225"/>
      <c r="Q486" s="225"/>
      <c r="R486" s="225"/>
      <c r="S486" s="225"/>
      <c r="T486" s="225"/>
      <c r="U486" s="225"/>
      <c r="V486" s="225"/>
      <c r="W486" s="225"/>
      <c r="X486" s="225"/>
    </row>
    <row r="487" spans="1:24" ht="13.8" x14ac:dyDescent="0.3">
      <c r="A487" s="225"/>
      <c r="B487" s="225"/>
      <c r="C487" s="225"/>
      <c r="D487" s="225"/>
      <c r="E487" s="225"/>
      <c r="F487" s="225"/>
      <c r="G487" s="225"/>
      <c r="H487" s="225"/>
      <c r="I487" s="225"/>
      <c r="J487" s="225"/>
      <c r="K487" s="225"/>
      <c r="L487" s="225"/>
      <c r="M487" s="225"/>
      <c r="N487" s="225"/>
      <c r="O487" s="225"/>
      <c r="P487" s="225"/>
      <c r="Q487" s="225"/>
      <c r="R487" s="225"/>
      <c r="S487" s="225"/>
      <c r="T487" s="225"/>
      <c r="U487" s="225"/>
      <c r="V487" s="225"/>
      <c r="W487" s="225"/>
      <c r="X487" s="225"/>
    </row>
    <row r="488" spans="1:24" ht="13.8" x14ac:dyDescent="0.3">
      <c r="A488" s="225"/>
      <c r="B488" s="225"/>
      <c r="C488" s="225"/>
      <c r="D488" s="225"/>
      <c r="E488" s="225"/>
      <c r="F488" s="225"/>
      <c r="G488" s="225"/>
      <c r="H488" s="225"/>
      <c r="I488" s="225"/>
      <c r="J488" s="225"/>
      <c r="K488" s="225"/>
      <c r="L488" s="225"/>
      <c r="M488" s="225"/>
      <c r="N488" s="225"/>
      <c r="O488" s="225"/>
      <c r="P488" s="225"/>
      <c r="Q488" s="225"/>
      <c r="R488" s="225"/>
      <c r="S488" s="225"/>
      <c r="T488" s="225"/>
      <c r="U488" s="225"/>
      <c r="V488" s="225"/>
      <c r="W488" s="225"/>
      <c r="X488" s="225"/>
    </row>
    <row r="489" spans="1:24" ht="13.8" x14ac:dyDescent="0.3">
      <c r="A489" s="225"/>
      <c r="B489" s="225"/>
      <c r="C489" s="225"/>
      <c r="D489" s="225"/>
      <c r="E489" s="225"/>
      <c r="F489" s="225"/>
      <c r="G489" s="225"/>
      <c r="H489" s="225"/>
      <c r="I489" s="225"/>
      <c r="J489" s="225"/>
      <c r="K489" s="225"/>
      <c r="L489" s="225"/>
      <c r="M489" s="225"/>
      <c r="N489" s="225"/>
      <c r="O489" s="225"/>
      <c r="P489" s="225"/>
      <c r="Q489" s="225"/>
      <c r="R489" s="225"/>
      <c r="S489" s="225"/>
      <c r="T489" s="225"/>
      <c r="U489" s="225"/>
      <c r="V489" s="225"/>
      <c r="W489" s="225"/>
      <c r="X489" s="225"/>
    </row>
    <row r="490" spans="1:24" ht="13.8" x14ac:dyDescent="0.3">
      <c r="A490" s="225"/>
      <c r="B490" s="225"/>
      <c r="C490" s="225"/>
      <c r="D490" s="225"/>
      <c r="E490" s="225"/>
      <c r="F490" s="225"/>
      <c r="G490" s="225"/>
      <c r="H490" s="225"/>
      <c r="I490" s="225"/>
      <c r="J490" s="225"/>
      <c r="K490" s="225"/>
      <c r="L490" s="225"/>
      <c r="M490" s="225"/>
      <c r="N490" s="225"/>
      <c r="O490" s="225"/>
      <c r="P490" s="225"/>
      <c r="Q490" s="225"/>
      <c r="R490" s="225"/>
      <c r="S490" s="225"/>
      <c r="T490" s="225"/>
      <c r="U490" s="225"/>
      <c r="V490" s="225"/>
      <c r="W490" s="225"/>
      <c r="X490" s="225"/>
    </row>
    <row r="491" spans="1:24" ht="13.8" x14ac:dyDescent="0.3">
      <c r="A491" s="225"/>
      <c r="B491" s="225"/>
      <c r="C491" s="225"/>
      <c r="D491" s="225"/>
      <c r="E491" s="225"/>
      <c r="F491" s="225"/>
      <c r="G491" s="225"/>
      <c r="H491" s="225"/>
      <c r="I491" s="225"/>
      <c r="J491" s="225"/>
      <c r="K491" s="225"/>
      <c r="L491" s="225"/>
      <c r="M491" s="225"/>
      <c r="N491" s="225"/>
      <c r="O491" s="225"/>
      <c r="P491" s="225"/>
      <c r="Q491" s="225"/>
      <c r="R491" s="225"/>
      <c r="S491" s="225"/>
      <c r="T491" s="225"/>
      <c r="U491" s="225"/>
      <c r="V491" s="225"/>
      <c r="W491" s="225"/>
      <c r="X491" s="225"/>
    </row>
    <row r="492" spans="1:24" ht="13.8" x14ac:dyDescent="0.3">
      <c r="A492" s="225"/>
      <c r="B492" s="225"/>
      <c r="C492" s="225"/>
      <c r="D492" s="225"/>
      <c r="E492" s="225"/>
      <c r="F492" s="225"/>
      <c r="G492" s="225"/>
      <c r="H492" s="225"/>
      <c r="I492" s="225"/>
      <c r="J492" s="225"/>
      <c r="K492" s="225"/>
      <c r="L492" s="225"/>
      <c r="M492" s="225"/>
      <c r="N492" s="225"/>
      <c r="O492" s="225"/>
      <c r="P492" s="225"/>
      <c r="Q492" s="225"/>
      <c r="R492" s="225"/>
      <c r="S492" s="225"/>
      <c r="T492" s="225"/>
      <c r="U492" s="225"/>
      <c r="V492" s="225"/>
      <c r="W492" s="225"/>
      <c r="X492" s="225"/>
    </row>
    <row r="493" spans="1:24" ht="13.8" x14ac:dyDescent="0.3">
      <c r="A493" s="225"/>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row>
    <row r="494" spans="1:24" ht="13.8" x14ac:dyDescent="0.3">
      <c r="A494" s="225"/>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row>
    <row r="495" spans="1:24" ht="13.8" x14ac:dyDescent="0.3">
      <c r="A495" s="225"/>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row>
    <row r="496" spans="1:24" ht="13.8" x14ac:dyDescent="0.3">
      <c r="A496" s="225"/>
      <c r="B496" s="225"/>
      <c r="C496" s="225"/>
      <c r="D496" s="225"/>
      <c r="E496" s="225"/>
      <c r="F496" s="225"/>
      <c r="G496" s="225"/>
      <c r="H496" s="225"/>
      <c r="I496" s="225"/>
      <c r="J496" s="225"/>
      <c r="K496" s="225"/>
      <c r="L496" s="225"/>
      <c r="M496" s="225"/>
      <c r="N496" s="225"/>
      <c r="O496" s="225"/>
      <c r="P496" s="225"/>
      <c r="Q496" s="225"/>
      <c r="R496" s="225"/>
      <c r="S496" s="225"/>
      <c r="T496" s="225"/>
      <c r="U496" s="225"/>
      <c r="V496" s="225"/>
      <c r="W496" s="225"/>
      <c r="X496" s="225"/>
    </row>
    <row r="497" spans="1:24" ht="13.8" x14ac:dyDescent="0.3">
      <c r="A497" s="225"/>
      <c r="B497" s="225"/>
      <c r="C497" s="225"/>
      <c r="D497" s="225"/>
      <c r="E497" s="225"/>
      <c r="F497" s="225"/>
      <c r="G497" s="225"/>
      <c r="H497" s="225"/>
      <c r="I497" s="225"/>
      <c r="J497" s="225"/>
      <c r="K497" s="225"/>
      <c r="L497" s="225"/>
      <c r="M497" s="225"/>
      <c r="N497" s="225"/>
      <c r="O497" s="225"/>
      <c r="P497" s="225"/>
      <c r="Q497" s="225"/>
      <c r="R497" s="225"/>
      <c r="S497" s="225"/>
      <c r="T497" s="225"/>
      <c r="U497" s="225"/>
      <c r="V497" s="225"/>
      <c r="W497" s="225"/>
      <c r="X497" s="225"/>
    </row>
    <row r="498" spans="1:24" ht="13.8" x14ac:dyDescent="0.3">
      <c r="A498" s="225"/>
      <c r="B498" s="225"/>
      <c r="C498" s="225"/>
      <c r="D498" s="225"/>
      <c r="E498" s="225"/>
      <c r="F498" s="225"/>
      <c r="G498" s="225"/>
      <c r="H498" s="225"/>
      <c r="I498" s="225"/>
      <c r="J498" s="225"/>
      <c r="K498" s="225"/>
      <c r="L498" s="225"/>
      <c r="M498" s="225"/>
      <c r="N498" s="225"/>
      <c r="O498" s="225"/>
      <c r="P498" s="225"/>
      <c r="Q498" s="225"/>
      <c r="R498" s="225"/>
      <c r="S498" s="225"/>
      <c r="T498" s="225"/>
      <c r="U498" s="225"/>
      <c r="V498" s="225"/>
      <c r="W498" s="225"/>
      <c r="X498" s="225"/>
    </row>
    <row r="499" spans="1:24" ht="13.8" x14ac:dyDescent="0.3">
      <c r="A499" s="225"/>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row>
    <row r="500" spans="1:24" ht="13.8" x14ac:dyDescent="0.3">
      <c r="A500" s="225"/>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row>
    <row r="501" spans="1:24" ht="13.8" x14ac:dyDescent="0.3">
      <c r="A501" s="225"/>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row>
    <row r="502" spans="1:24" ht="13.8" x14ac:dyDescent="0.3">
      <c r="A502" s="225"/>
      <c r="B502" s="225"/>
      <c r="C502" s="225"/>
      <c r="D502" s="225"/>
      <c r="E502" s="225"/>
      <c r="F502" s="225"/>
      <c r="G502" s="225"/>
      <c r="H502" s="225"/>
      <c r="I502" s="225"/>
      <c r="J502" s="225"/>
      <c r="K502" s="225"/>
      <c r="L502" s="225"/>
      <c r="M502" s="225"/>
      <c r="N502" s="225"/>
      <c r="O502" s="225"/>
      <c r="P502" s="225"/>
      <c r="Q502" s="225"/>
      <c r="R502" s="225"/>
      <c r="S502" s="225"/>
      <c r="T502" s="225"/>
      <c r="U502" s="225"/>
      <c r="V502" s="225"/>
      <c r="W502" s="225"/>
      <c r="X502" s="225"/>
    </row>
    <row r="503" spans="1:24" ht="13.8" x14ac:dyDescent="0.3">
      <c r="A503" s="225"/>
      <c r="B503" s="225"/>
      <c r="C503" s="225"/>
      <c r="D503" s="225"/>
      <c r="E503" s="225"/>
      <c r="F503" s="225"/>
      <c r="G503" s="225"/>
      <c r="H503" s="225"/>
      <c r="I503" s="225"/>
      <c r="J503" s="225"/>
      <c r="K503" s="225"/>
      <c r="L503" s="225"/>
      <c r="M503" s="225"/>
      <c r="N503" s="225"/>
      <c r="O503" s="225"/>
      <c r="P503" s="225"/>
      <c r="Q503" s="225"/>
      <c r="R503" s="225"/>
      <c r="S503" s="225"/>
      <c r="T503" s="225"/>
      <c r="U503" s="225"/>
      <c r="V503" s="225"/>
      <c r="W503" s="225"/>
      <c r="X503" s="225"/>
    </row>
    <row r="504" spans="1:24" ht="13.8" x14ac:dyDescent="0.3">
      <c r="A504" s="225"/>
      <c r="B504" s="225"/>
      <c r="C504" s="225"/>
      <c r="D504" s="225"/>
      <c r="E504" s="225"/>
      <c r="F504" s="225"/>
      <c r="G504" s="225"/>
      <c r="H504" s="225"/>
      <c r="I504" s="225"/>
      <c r="J504" s="225"/>
      <c r="K504" s="225"/>
      <c r="L504" s="225"/>
      <c r="M504" s="225"/>
      <c r="N504" s="225"/>
      <c r="O504" s="225"/>
      <c r="P504" s="225"/>
      <c r="Q504" s="225"/>
      <c r="R504" s="225"/>
      <c r="S504" s="225"/>
      <c r="T504" s="225"/>
      <c r="U504" s="225"/>
      <c r="V504" s="225"/>
      <c r="W504" s="225"/>
      <c r="X504" s="225"/>
    </row>
    <row r="505" spans="1:24" ht="13.8" x14ac:dyDescent="0.3">
      <c r="A505" s="225"/>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row>
    <row r="506" spans="1:24" ht="13.8" x14ac:dyDescent="0.3">
      <c r="A506" s="225"/>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row>
    <row r="507" spans="1:24" ht="13.8" x14ac:dyDescent="0.3">
      <c r="A507" s="225"/>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row>
    <row r="508" spans="1:24" ht="13.8" x14ac:dyDescent="0.3">
      <c r="A508" s="225"/>
      <c r="B508" s="225"/>
      <c r="C508" s="225"/>
      <c r="D508" s="225"/>
      <c r="E508" s="225"/>
      <c r="F508" s="225"/>
      <c r="G508" s="225"/>
      <c r="H508" s="225"/>
      <c r="I508" s="225"/>
      <c r="J508" s="225"/>
      <c r="K508" s="225"/>
      <c r="L508" s="225"/>
      <c r="M508" s="225"/>
      <c r="N508" s="225"/>
      <c r="O508" s="225"/>
      <c r="P508" s="225"/>
      <c r="Q508" s="225"/>
      <c r="R508" s="225"/>
      <c r="S508" s="225"/>
      <c r="T508" s="225"/>
      <c r="U508" s="225"/>
      <c r="V508" s="225"/>
      <c r="W508" s="225"/>
      <c r="X508" s="225"/>
    </row>
    <row r="509" spans="1:24" ht="13.8" x14ac:dyDescent="0.3">
      <c r="A509" s="225"/>
      <c r="B509" s="225"/>
      <c r="C509" s="225"/>
      <c r="D509" s="225"/>
      <c r="E509" s="225"/>
      <c r="F509" s="225"/>
      <c r="G509" s="225"/>
      <c r="H509" s="225"/>
      <c r="I509" s="225"/>
      <c r="J509" s="225"/>
      <c r="K509" s="225"/>
      <c r="L509" s="225"/>
      <c r="M509" s="225"/>
      <c r="N509" s="225"/>
      <c r="O509" s="225"/>
      <c r="P509" s="225"/>
      <c r="Q509" s="225"/>
      <c r="R509" s="225"/>
      <c r="S509" s="225"/>
      <c r="T509" s="225"/>
      <c r="U509" s="225"/>
      <c r="V509" s="225"/>
      <c r="W509" s="225"/>
      <c r="X509" s="225"/>
    </row>
    <row r="510" spans="1:24" ht="13.8" x14ac:dyDescent="0.3">
      <c r="A510" s="225"/>
      <c r="B510" s="225"/>
      <c r="C510" s="225"/>
      <c r="D510" s="225"/>
      <c r="E510" s="225"/>
      <c r="F510" s="225"/>
      <c r="G510" s="225"/>
      <c r="H510" s="225"/>
      <c r="I510" s="225"/>
      <c r="J510" s="225"/>
      <c r="K510" s="225"/>
      <c r="L510" s="225"/>
      <c r="M510" s="225"/>
      <c r="N510" s="225"/>
      <c r="O510" s="225"/>
      <c r="P510" s="225"/>
      <c r="Q510" s="225"/>
      <c r="R510" s="225"/>
      <c r="S510" s="225"/>
      <c r="T510" s="225"/>
      <c r="U510" s="225"/>
      <c r="V510" s="225"/>
      <c r="W510" s="225"/>
      <c r="X510" s="225"/>
    </row>
    <row r="511" spans="1:24" ht="13.8" x14ac:dyDescent="0.3">
      <c r="A511" s="225"/>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row>
    <row r="512" spans="1:24" ht="13.8" x14ac:dyDescent="0.3">
      <c r="A512" s="225"/>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row>
    <row r="513" spans="1:24" ht="13.8" x14ac:dyDescent="0.3">
      <c r="A513" s="225"/>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row>
    <row r="514" spans="1:24" ht="13.8" x14ac:dyDescent="0.3">
      <c r="A514" s="225"/>
      <c r="B514" s="225"/>
      <c r="C514" s="225"/>
      <c r="D514" s="225"/>
      <c r="E514" s="225"/>
      <c r="F514" s="225"/>
      <c r="G514" s="225"/>
      <c r="H514" s="225"/>
      <c r="I514" s="225"/>
      <c r="J514" s="225"/>
      <c r="K514" s="225"/>
      <c r="L514" s="225"/>
      <c r="M514" s="225"/>
      <c r="N514" s="225"/>
      <c r="O514" s="225"/>
      <c r="P514" s="225"/>
      <c r="Q514" s="225"/>
      <c r="R514" s="225"/>
      <c r="S514" s="225"/>
      <c r="T514" s="225"/>
      <c r="U514" s="225"/>
      <c r="V514" s="225"/>
      <c r="W514" s="225"/>
      <c r="X514" s="225"/>
    </row>
    <row r="515" spans="1:24" ht="13.8" x14ac:dyDescent="0.3">
      <c r="A515" s="225"/>
      <c r="B515" s="225"/>
      <c r="C515" s="225"/>
      <c r="D515" s="225"/>
      <c r="E515" s="225"/>
      <c r="F515" s="225"/>
      <c r="G515" s="225"/>
      <c r="H515" s="225"/>
      <c r="I515" s="225"/>
      <c r="J515" s="225"/>
      <c r="K515" s="225"/>
      <c r="L515" s="225"/>
      <c r="M515" s="225"/>
      <c r="N515" s="225"/>
      <c r="O515" s="225"/>
      <c r="P515" s="225"/>
      <c r="Q515" s="225"/>
      <c r="R515" s="225"/>
      <c r="S515" s="225"/>
      <c r="T515" s="225"/>
      <c r="U515" s="225"/>
      <c r="V515" s="225"/>
      <c r="W515" s="225"/>
      <c r="X515" s="225"/>
    </row>
    <row r="516" spans="1:24" ht="13.8" x14ac:dyDescent="0.3">
      <c r="A516" s="225"/>
      <c r="B516" s="225"/>
      <c r="C516" s="225"/>
      <c r="D516" s="225"/>
      <c r="E516" s="225"/>
      <c r="F516" s="225"/>
      <c r="G516" s="225"/>
      <c r="H516" s="225"/>
      <c r="I516" s="225"/>
      <c r="J516" s="225"/>
      <c r="K516" s="225"/>
      <c r="L516" s="225"/>
      <c r="M516" s="225"/>
      <c r="N516" s="225"/>
      <c r="O516" s="225"/>
      <c r="P516" s="225"/>
      <c r="Q516" s="225"/>
      <c r="R516" s="225"/>
      <c r="S516" s="225"/>
      <c r="T516" s="225"/>
      <c r="U516" s="225"/>
      <c r="V516" s="225"/>
      <c r="W516" s="225"/>
      <c r="X516" s="225"/>
    </row>
    <row r="517" spans="1:24" ht="13.8" x14ac:dyDescent="0.3">
      <c r="A517" s="225"/>
      <c r="B517" s="225"/>
      <c r="C517" s="225"/>
      <c r="D517" s="225"/>
      <c r="E517" s="225"/>
      <c r="F517" s="225"/>
      <c r="G517" s="225"/>
      <c r="H517" s="225"/>
      <c r="I517" s="225"/>
      <c r="J517" s="225"/>
      <c r="K517" s="225"/>
      <c r="L517" s="225"/>
      <c r="M517" s="225"/>
      <c r="N517" s="225"/>
      <c r="O517" s="225"/>
      <c r="P517" s="225"/>
      <c r="Q517" s="225"/>
      <c r="R517" s="225"/>
      <c r="S517" s="225"/>
      <c r="T517" s="225"/>
      <c r="U517" s="225"/>
      <c r="V517" s="225"/>
      <c r="W517" s="225"/>
      <c r="X517" s="225"/>
    </row>
    <row r="518" spans="1:24" ht="13.8" x14ac:dyDescent="0.3">
      <c r="A518" s="225"/>
      <c r="B518" s="225"/>
      <c r="C518" s="225"/>
      <c r="D518" s="225"/>
      <c r="E518" s="225"/>
      <c r="F518" s="225"/>
      <c r="G518" s="225"/>
      <c r="H518" s="225"/>
      <c r="I518" s="225"/>
      <c r="J518" s="225"/>
      <c r="K518" s="225"/>
      <c r="L518" s="225"/>
      <c r="M518" s="225"/>
      <c r="N518" s="225"/>
      <c r="O518" s="225"/>
      <c r="P518" s="225"/>
      <c r="Q518" s="225"/>
      <c r="R518" s="225"/>
      <c r="S518" s="225"/>
      <c r="T518" s="225"/>
      <c r="U518" s="225"/>
      <c r="V518" s="225"/>
      <c r="W518" s="225"/>
      <c r="X518" s="225"/>
    </row>
    <row r="519" spans="1:24" ht="13.8" x14ac:dyDescent="0.3">
      <c r="A519" s="225"/>
      <c r="B519" s="225"/>
      <c r="C519" s="225"/>
      <c r="D519" s="225"/>
      <c r="E519" s="225"/>
      <c r="F519" s="225"/>
      <c r="G519" s="225"/>
      <c r="H519" s="225"/>
      <c r="I519" s="225"/>
      <c r="J519" s="225"/>
      <c r="K519" s="225"/>
      <c r="L519" s="225"/>
      <c r="M519" s="225"/>
      <c r="N519" s="225"/>
      <c r="O519" s="225"/>
      <c r="P519" s="225"/>
      <c r="Q519" s="225"/>
      <c r="R519" s="225"/>
      <c r="S519" s="225"/>
      <c r="T519" s="225"/>
      <c r="U519" s="225"/>
      <c r="V519" s="225"/>
      <c r="W519" s="225"/>
      <c r="X519" s="225"/>
    </row>
    <row r="520" spans="1:24" ht="13.8" x14ac:dyDescent="0.3">
      <c r="A520" s="225"/>
      <c r="B520" s="225"/>
      <c r="C520" s="225"/>
      <c r="D520" s="225"/>
      <c r="E520" s="225"/>
      <c r="F520" s="225"/>
      <c r="G520" s="225"/>
      <c r="H520" s="225"/>
      <c r="I520" s="225"/>
      <c r="J520" s="225"/>
      <c r="K520" s="225"/>
      <c r="L520" s="225"/>
      <c r="M520" s="225"/>
      <c r="N520" s="225"/>
      <c r="O520" s="225"/>
      <c r="P520" s="225"/>
      <c r="Q520" s="225"/>
      <c r="R520" s="225"/>
      <c r="S520" s="225"/>
      <c r="T520" s="225"/>
      <c r="U520" s="225"/>
      <c r="V520" s="225"/>
      <c r="W520" s="225"/>
      <c r="X520" s="225"/>
    </row>
    <row r="521" spans="1:24" ht="13.8" x14ac:dyDescent="0.3">
      <c r="A521" s="225"/>
      <c r="B521" s="225"/>
      <c r="C521" s="225"/>
      <c r="D521" s="225"/>
      <c r="E521" s="225"/>
      <c r="F521" s="225"/>
      <c r="G521" s="225"/>
      <c r="H521" s="225"/>
      <c r="I521" s="225"/>
      <c r="J521" s="225"/>
      <c r="K521" s="225"/>
      <c r="L521" s="225"/>
      <c r="M521" s="225"/>
      <c r="N521" s="225"/>
      <c r="O521" s="225"/>
      <c r="P521" s="225"/>
      <c r="Q521" s="225"/>
      <c r="R521" s="225"/>
      <c r="S521" s="225"/>
      <c r="T521" s="225"/>
      <c r="U521" s="225"/>
      <c r="V521" s="225"/>
      <c r="W521" s="225"/>
      <c r="X521" s="225"/>
    </row>
    <row r="522" spans="1:24" ht="13.8" x14ac:dyDescent="0.3">
      <c r="A522" s="225"/>
      <c r="B522" s="225"/>
      <c r="C522" s="225"/>
      <c r="D522" s="225"/>
      <c r="E522" s="225"/>
      <c r="F522" s="225"/>
      <c r="G522" s="225"/>
      <c r="H522" s="225"/>
      <c r="I522" s="225"/>
      <c r="J522" s="225"/>
      <c r="K522" s="225"/>
      <c r="L522" s="225"/>
      <c r="M522" s="225"/>
      <c r="N522" s="225"/>
      <c r="O522" s="225"/>
      <c r="P522" s="225"/>
      <c r="Q522" s="225"/>
      <c r="R522" s="225"/>
      <c r="S522" s="225"/>
      <c r="T522" s="225"/>
      <c r="U522" s="225"/>
      <c r="V522" s="225"/>
      <c r="W522" s="225"/>
      <c r="X522" s="225"/>
    </row>
    <row r="523" spans="1:24" ht="13.8" x14ac:dyDescent="0.3">
      <c r="A523" s="225"/>
      <c r="B523" s="225"/>
      <c r="C523" s="225"/>
      <c r="D523" s="225"/>
      <c r="E523" s="225"/>
      <c r="F523" s="225"/>
      <c r="G523" s="225"/>
      <c r="H523" s="225"/>
      <c r="I523" s="225"/>
      <c r="J523" s="225"/>
      <c r="K523" s="225"/>
      <c r="L523" s="225"/>
      <c r="M523" s="225"/>
      <c r="N523" s="225"/>
      <c r="O523" s="225"/>
      <c r="P523" s="225"/>
      <c r="Q523" s="225"/>
      <c r="R523" s="225"/>
      <c r="S523" s="225"/>
      <c r="T523" s="225"/>
      <c r="U523" s="225"/>
      <c r="V523" s="225"/>
      <c r="W523" s="225"/>
      <c r="X523" s="225"/>
    </row>
    <row r="524" spans="1:24" ht="13.8" x14ac:dyDescent="0.3">
      <c r="A524" s="225"/>
      <c r="B524" s="225"/>
      <c r="C524" s="225"/>
      <c r="D524" s="225"/>
      <c r="E524" s="225"/>
      <c r="F524" s="225"/>
      <c r="G524" s="225"/>
      <c r="H524" s="225"/>
      <c r="I524" s="225"/>
      <c r="J524" s="225"/>
      <c r="K524" s="225"/>
      <c r="L524" s="225"/>
      <c r="M524" s="225"/>
      <c r="N524" s="225"/>
      <c r="O524" s="225"/>
      <c r="P524" s="225"/>
      <c r="Q524" s="225"/>
      <c r="R524" s="225"/>
      <c r="S524" s="225"/>
      <c r="T524" s="225"/>
      <c r="U524" s="225"/>
      <c r="V524" s="225"/>
      <c r="W524" s="225"/>
      <c r="X524" s="225"/>
    </row>
    <row r="525" spans="1:24" ht="13.8" x14ac:dyDescent="0.3">
      <c r="A525" s="225"/>
      <c r="B525" s="225"/>
      <c r="C525" s="225"/>
      <c r="D525" s="225"/>
      <c r="E525" s="225"/>
      <c r="F525" s="225"/>
      <c r="G525" s="225"/>
      <c r="H525" s="225"/>
      <c r="I525" s="225"/>
      <c r="J525" s="225"/>
      <c r="K525" s="225"/>
      <c r="L525" s="225"/>
      <c r="M525" s="225"/>
      <c r="N525" s="225"/>
      <c r="O525" s="225"/>
      <c r="P525" s="225"/>
      <c r="Q525" s="225"/>
      <c r="R525" s="225"/>
      <c r="S525" s="225"/>
      <c r="T525" s="225"/>
      <c r="U525" s="225"/>
      <c r="V525" s="225"/>
      <c r="W525" s="225"/>
      <c r="X525" s="225"/>
    </row>
    <row r="526" spans="1:24" ht="13.8" x14ac:dyDescent="0.3">
      <c r="A526" s="225"/>
      <c r="B526" s="225"/>
      <c r="C526" s="225"/>
      <c r="D526" s="225"/>
      <c r="E526" s="225"/>
      <c r="F526" s="225"/>
      <c r="G526" s="225"/>
      <c r="H526" s="225"/>
      <c r="I526" s="225"/>
      <c r="J526" s="225"/>
      <c r="K526" s="225"/>
      <c r="L526" s="225"/>
      <c r="M526" s="225"/>
      <c r="N526" s="225"/>
      <c r="O526" s="225"/>
      <c r="P526" s="225"/>
      <c r="Q526" s="225"/>
      <c r="R526" s="225"/>
      <c r="S526" s="225"/>
      <c r="T526" s="225"/>
      <c r="U526" s="225"/>
      <c r="V526" s="225"/>
      <c r="W526" s="225"/>
      <c r="X526" s="225"/>
    </row>
    <row r="527" spans="1:24" ht="13.8" x14ac:dyDescent="0.3">
      <c r="A527" s="225"/>
      <c r="B527" s="225"/>
      <c r="C527" s="225"/>
      <c r="D527" s="225"/>
      <c r="E527" s="225"/>
      <c r="F527" s="225"/>
      <c r="G527" s="225"/>
      <c r="H527" s="225"/>
      <c r="I527" s="225"/>
      <c r="J527" s="225"/>
      <c r="K527" s="225"/>
      <c r="L527" s="225"/>
      <c r="M527" s="225"/>
      <c r="N527" s="225"/>
      <c r="O527" s="225"/>
      <c r="P527" s="225"/>
      <c r="Q527" s="225"/>
      <c r="R527" s="225"/>
      <c r="S527" s="225"/>
      <c r="T527" s="225"/>
      <c r="U527" s="225"/>
      <c r="V527" s="225"/>
      <c r="W527" s="225"/>
      <c r="X527" s="225"/>
    </row>
    <row r="528" spans="1:24" ht="13.8" x14ac:dyDescent="0.3">
      <c r="A528" s="225"/>
      <c r="B528" s="225"/>
      <c r="C528" s="225"/>
      <c r="D528" s="225"/>
      <c r="E528" s="225"/>
      <c r="F528" s="225"/>
      <c r="G528" s="225"/>
      <c r="H528" s="225"/>
      <c r="I528" s="225"/>
      <c r="J528" s="225"/>
      <c r="K528" s="225"/>
      <c r="L528" s="225"/>
      <c r="M528" s="225"/>
      <c r="N528" s="225"/>
      <c r="O528" s="225"/>
      <c r="P528" s="225"/>
      <c r="Q528" s="225"/>
      <c r="R528" s="225"/>
      <c r="S528" s="225"/>
      <c r="T528" s="225"/>
      <c r="U528" s="225"/>
      <c r="V528" s="225"/>
      <c r="W528" s="225"/>
      <c r="X528" s="225"/>
    </row>
    <row r="529" spans="1:24" ht="13.8" x14ac:dyDescent="0.3">
      <c r="A529" s="225"/>
      <c r="B529" s="225"/>
      <c r="C529" s="225"/>
      <c r="D529" s="225"/>
      <c r="E529" s="225"/>
      <c r="F529" s="225"/>
      <c r="G529" s="225"/>
      <c r="H529" s="225"/>
      <c r="I529" s="225"/>
      <c r="J529" s="225"/>
      <c r="K529" s="225"/>
      <c r="L529" s="225"/>
      <c r="M529" s="225"/>
      <c r="N529" s="225"/>
      <c r="O529" s="225"/>
      <c r="P529" s="225"/>
      <c r="Q529" s="225"/>
      <c r="R529" s="225"/>
      <c r="S529" s="225"/>
      <c r="T529" s="225"/>
      <c r="U529" s="225"/>
      <c r="V529" s="225"/>
      <c r="W529" s="225"/>
      <c r="X529" s="225"/>
    </row>
    <row r="530" spans="1:24" ht="13.8" x14ac:dyDescent="0.3">
      <c r="A530" s="225"/>
      <c r="B530" s="225"/>
      <c r="C530" s="225"/>
      <c r="D530" s="225"/>
      <c r="E530" s="225"/>
      <c r="F530" s="225"/>
      <c r="G530" s="225"/>
      <c r="H530" s="225"/>
      <c r="I530" s="225"/>
      <c r="J530" s="225"/>
      <c r="K530" s="225"/>
      <c r="L530" s="225"/>
      <c r="M530" s="225"/>
      <c r="N530" s="225"/>
      <c r="O530" s="225"/>
      <c r="P530" s="225"/>
      <c r="Q530" s="225"/>
      <c r="R530" s="225"/>
      <c r="S530" s="225"/>
      <c r="T530" s="225"/>
      <c r="U530" s="225"/>
      <c r="V530" s="225"/>
      <c r="W530" s="225"/>
      <c r="X530" s="225"/>
    </row>
    <row r="531" spans="1:24" ht="13.8" x14ac:dyDescent="0.3">
      <c r="A531" s="225"/>
      <c r="B531" s="225"/>
      <c r="C531" s="225"/>
      <c r="D531" s="225"/>
      <c r="E531" s="225"/>
      <c r="F531" s="225"/>
      <c r="G531" s="225"/>
      <c r="H531" s="225"/>
      <c r="I531" s="225"/>
      <c r="J531" s="225"/>
      <c r="K531" s="225"/>
      <c r="L531" s="225"/>
      <c r="M531" s="225"/>
      <c r="N531" s="225"/>
      <c r="O531" s="225"/>
      <c r="P531" s="225"/>
      <c r="Q531" s="225"/>
      <c r="R531" s="225"/>
      <c r="S531" s="225"/>
      <c r="T531" s="225"/>
      <c r="U531" s="225"/>
      <c r="V531" s="225"/>
      <c r="W531" s="225"/>
      <c r="X531" s="225"/>
    </row>
    <row r="532" spans="1:24" ht="13.8" x14ac:dyDescent="0.3">
      <c r="A532" s="225"/>
      <c r="B532" s="225"/>
      <c r="C532" s="225"/>
      <c r="D532" s="225"/>
      <c r="E532" s="225"/>
      <c r="F532" s="225"/>
      <c r="G532" s="225"/>
      <c r="H532" s="225"/>
      <c r="I532" s="225"/>
      <c r="J532" s="225"/>
      <c r="K532" s="225"/>
      <c r="L532" s="225"/>
      <c r="M532" s="225"/>
      <c r="N532" s="225"/>
      <c r="O532" s="225"/>
      <c r="P532" s="225"/>
      <c r="Q532" s="225"/>
      <c r="R532" s="225"/>
      <c r="S532" s="225"/>
      <c r="T532" s="225"/>
      <c r="U532" s="225"/>
      <c r="V532" s="225"/>
      <c r="W532" s="225"/>
      <c r="X532" s="225"/>
    </row>
    <row r="533" spans="1:24" ht="13.8" x14ac:dyDescent="0.3">
      <c r="A533" s="225"/>
      <c r="B533" s="225"/>
      <c r="C533" s="225"/>
      <c r="D533" s="225"/>
      <c r="E533" s="225"/>
      <c r="F533" s="225"/>
      <c r="G533" s="225"/>
      <c r="H533" s="225"/>
      <c r="I533" s="225"/>
      <c r="J533" s="225"/>
      <c r="K533" s="225"/>
      <c r="L533" s="225"/>
      <c r="M533" s="225"/>
      <c r="N533" s="225"/>
      <c r="O533" s="225"/>
      <c r="P533" s="225"/>
      <c r="Q533" s="225"/>
      <c r="R533" s="225"/>
      <c r="S533" s="225"/>
      <c r="T533" s="225"/>
      <c r="U533" s="225"/>
      <c r="V533" s="225"/>
      <c r="W533" s="225"/>
      <c r="X533" s="225"/>
    </row>
    <row r="534" spans="1:24" ht="13.8" x14ac:dyDescent="0.3">
      <c r="A534" s="225"/>
      <c r="B534" s="225"/>
      <c r="C534" s="225"/>
      <c r="D534" s="225"/>
      <c r="E534" s="225"/>
      <c r="F534" s="225"/>
      <c r="G534" s="225"/>
      <c r="H534" s="225"/>
      <c r="I534" s="225"/>
      <c r="J534" s="225"/>
      <c r="K534" s="225"/>
      <c r="L534" s="225"/>
      <c r="M534" s="225"/>
      <c r="N534" s="225"/>
      <c r="O534" s="225"/>
      <c r="P534" s="225"/>
      <c r="Q534" s="225"/>
      <c r="R534" s="225"/>
      <c r="S534" s="225"/>
      <c r="T534" s="225"/>
      <c r="U534" s="225"/>
      <c r="V534" s="225"/>
      <c r="W534" s="225"/>
      <c r="X534" s="225"/>
    </row>
    <row r="535" spans="1:24" ht="13.8" x14ac:dyDescent="0.3">
      <c r="A535" s="225"/>
      <c r="B535" s="225"/>
      <c r="C535" s="225"/>
      <c r="D535" s="225"/>
      <c r="E535" s="225"/>
      <c r="F535" s="225"/>
      <c r="G535" s="225"/>
      <c r="H535" s="225"/>
      <c r="I535" s="225"/>
      <c r="J535" s="225"/>
      <c r="K535" s="225"/>
      <c r="L535" s="225"/>
      <c r="M535" s="225"/>
      <c r="N535" s="225"/>
      <c r="O535" s="225"/>
      <c r="P535" s="225"/>
      <c r="Q535" s="225"/>
      <c r="R535" s="225"/>
      <c r="S535" s="225"/>
      <c r="T535" s="225"/>
      <c r="U535" s="225"/>
      <c r="V535" s="225"/>
      <c r="W535" s="225"/>
      <c r="X535" s="225"/>
    </row>
    <row r="536" spans="1:24" ht="13.8" x14ac:dyDescent="0.3">
      <c r="A536" s="225"/>
      <c r="B536" s="225"/>
      <c r="C536" s="225"/>
      <c r="D536" s="225"/>
      <c r="E536" s="225"/>
      <c r="F536" s="225"/>
      <c r="G536" s="225"/>
      <c r="H536" s="225"/>
      <c r="I536" s="225"/>
      <c r="J536" s="225"/>
      <c r="K536" s="225"/>
      <c r="L536" s="225"/>
      <c r="M536" s="225"/>
      <c r="N536" s="225"/>
      <c r="O536" s="225"/>
      <c r="P536" s="225"/>
      <c r="Q536" s="225"/>
      <c r="R536" s="225"/>
      <c r="S536" s="225"/>
      <c r="T536" s="225"/>
      <c r="U536" s="225"/>
      <c r="V536" s="225"/>
      <c r="W536" s="225"/>
      <c r="X536" s="225"/>
    </row>
    <row r="537" spans="1:24" ht="13.8" x14ac:dyDescent="0.3">
      <c r="A537" s="225"/>
      <c r="B537" s="225"/>
      <c r="C537" s="225"/>
      <c r="D537" s="225"/>
      <c r="E537" s="225"/>
      <c r="F537" s="225"/>
      <c r="G537" s="225"/>
      <c r="H537" s="225"/>
      <c r="I537" s="225"/>
      <c r="J537" s="225"/>
      <c r="K537" s="225"/>
      <c r="L537" s="225"/>
      <c r="M537" s="225"/>
      <c r="N537" s="225"/>
      <c r="O537" s="225"/>
      <c r="P537" s="225"/>
      <c r="Q537" s="225"/>
      <c r="R537" s="225"/>
      <c r="S537" s="225"/>
      <c r="T537" s="225"/>
      <c r="U537" s="225"/>
      <c r="V537" s="225"/>
      <c r="W537" s="225"/>
      <c r="X537" s="225"/>
    </row>
    <row r="538" spans="1:24" ht="13.8" x14ac:dyDescent="0.3">
      <c r="A538" s="225"/>
      <c r="B538" s="225"/>
      <c r="C538" s="225"/>
      <c r="D538" s="225"/>
      <c r="E538" s="225"/>
      <c r="F538" s="225"/>
      <c r="G538" s="225"/>
      <c r="H538" s="225"/>
      <c r="I538" s="225"/>
      <c r="J538" s="225"/>
      <c r="K538" s="225"/>
      <c r="L538" s="225"/>
      <c r="M538" s="225"/>
      <c r="N538" s="225"/>
      <c r="O538" s="225"/>
      <c r="P538" s="225"/>
      <c r="Q538" s="225"/>
      <c r="R538" s="225"/>
      <c r="S538" s="225"/>
      <c r="T538" s="225"/>
      <c r="U538" s="225"/>
      <c r="V538" s="225"/>
      <c r="W538" s="225"/>
      <c r="X538" s="225"/>
    </row>
    <row r="539" spans="1:24" ht="13.8" x14ac:dyDescent="0.3">
      <c r="A539" s="225"/>
      <c r="B539" s="225"/>
      <c r="C539" s="225"/>
      <c r="D539" s="225"/>
      <c r="E539" s="225"/>
      <c r="F539" s="225"/>
      <c r="G539" s="225"/>
      <c r="H539" s="225"/>
      <c r="I539" s="225"/>
      <c r="J539" s="225"/>
      <c r="K539" s="225"/>
      <c r="L539" s="225"/>
      <c r="M539" s="225"/>
      <c r="N539" s="225"/>
      <c r="O539" s="225"/>
      <c r="P539" s="225"/>
      <c r="Q539" s="225"/>
      <c r="R539" s="225"/>
      <c r="S539" s="225"/>
      <c r="T539" s="225"/>
      <c r="U539" s="225"/>
      <c r="V539" s="225"/>
      <c r="W539" s="225"/>
      <c r="X539" s="225"/>
    </row>
    <row r="540" spans="1:24" ht="13.8" x14ac:dyDescent="0.3">
      <c r="A540" s="225"/>
      <c r="B540" s="225"/>
      <c r="C540" s="225"/>
      <c r="D540" s="225"/>
      <c r="E540" s="225"/>
      <c r="F540" s="225"/>
      <c r="G540" s="225"/>
      <c r="H540" s="225"/>
      <c r="I540" s="225"/>
      <c r="J540" s="225"/>
      <c r="K540" s="225"/>
      <c r="L540" s="225"/>
      <c r="M540" s="225"/>
      <c r="N540" s="225"/>
      <c r="O540" s="225"/>
      <c r="P540" s="225"/>
      <c r="Q540" s="225"/>
      <c r="R540" s="225"/>
      <c r="S540" s="225"/>
      <c r="T540" s="225"/>
      <c r="U540" s="225"/>
      <c r="V540" s="225"/>
      <c r="W540" s="225"/>
      <c r="X540" s="225"/>
    </row>
    <row r="541" spans="1:24" ht="13.8" x14ac:dyDescent="0.3">
      <c r="A541" s="225"/>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row>
    <row r="542" spans="1:24" ht="13.8" x14ac:dyDescent="0.3">
      <c r="A542" s="225"/>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row>
    <row r="543" spans="1:24" ht="13.8" x14ac:dyDescent="0.3">
      <c r="A543" s="225"/>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row>
    <row r="544" spans="1:24" ht="13.8" x14ac:dyDescent="0.3">
      <c r="A544" s="225"/>
      <c r="B544" s="225"/>
      <c r="C544" s="225"/>
      <c r="D544" s="225"/>
      <c r="E544" s="225"/>
      <c r="F544" s="225"/>
      <c r="G544" s="225"/>
      <c r="H544" s="225"/>
      <c r="I544" s="225"/>
      <c r="J544" s="225"/>
      <c r="K544" s="225"/>
      <c r="L544" s="225"/>
      <c r="M544" s="225"/>
      <c r="N544" s="225"/>
      <c r="O544" s="225"/>
      <c r="P544" s="225"/>
      <c r="Q544" s="225"/>
      <c r="R544" s="225"/>
      <c r="S544" s="225"/>
      <c r="T544" s="225"/>
      <c r="U544" s="225"/>
      <c r="V544" s="225"/>
      <c r="W544" s="225"/>
      <c r="X544" s="225"/>
    </row>
    <row r="545" spans="1:24" ht="13.8" x14ac:dyDescent="0.3">
      <c r="A545" s="225"/>
      <c r="B545" s="225"/>
      <c r="C545" s="225"/>
      <c r="D545" s="225"/>
      <c r="E545" s="225"/>
      <c r="F545" s="225"/>
      <c r="G545" s="225"/>
      <c r="H545" s="225"/>
      <c r="I545" s="225"/>
      <c r="J545" s="225"/>
      <c r="K545" s="225"/>
      <c r="L545" s="225"/>
      <c r="M545" s="225"/>
      <c r="N545" s="225"/>
      <c r="O545" s="225"/>
      <c r="P545" s="225"/>
      <c r="Q545" s="225"/>
      <c r="R545" s="225"/>
      <c r="S545" s="225"/>
      <c r="T545" s="225"/>
      <c r="U545" s="225"/>
      <c r="V545" s="225"/>
      <c r="W545" s="225"/>
      <c r="X545" s="225"/>
    </row>
    <row r="546" spans="1:24" ht="13.8" x14ac:dyDescent="0.3">
      <c r="A546" s="225"/>
      <c r="B546" s="225"/>
      <c r="C546" s="225"/>
      <c r="D546" s="225"/>
      <c r="E546" s="225"/>
      <c r="F546" s="225"/>
      <c r="G546" s="225"/>
      <c r="H546" s="225"/>
      <c r="I546" s="225"/>
      <c r="J546" s="225"/>
      <c r="K546" s="225"/>
      <c r="L546" s="225"/>
      <c r="M546" s="225"/>
      <c r="N546" s="225"/>
      <c r="O546" s="225"/>
      <c r="P546" s="225"/>
      <c r="Q546" s="225"/>
      <c r="R546" s="225"/>
      <c r="S546" s="225"/>
      <c r="T546" s="225"/>
      <c r="U546" s="225"/>
      <c r="V546" s="225"/>
      <c r="W546" s="225"/>
      <c r="X546" s="225"/>
    </row>
    <row r="547" spans="1:24" ht="13.8" x14ac:dyDescent="0.3">
      <c r="A547" s="225"/>
      <c r="B547" s="225"/>
      <c r="C547" s="225"/>
      <c r="D547" s="225"/>
      <c r="E547" s="225"/>
      <c r="F547" s="225"/>
      <c r="G547" s="225"/>
      <c r="H547" s="225"/>
      <c r="I547" s="225"/>
      <c r="J547" s="225"/>
      <c r="K547" s="225"/>
      <c r="L547" s="225"/>
      <c r="M547" s="225"/>
      <c r="N547" s="225"/>
      <c r="O547" s="225"/>
      <c r="P547" s="225"/>
      <c r="Q547" s="225"/>
      <c r="R547" s="225"/>
      <c r="S547" s="225"/>
      <c r="T547" s="225"/>
      <c r="U547" s="225"/>
      <c r="V547" s="225"/>
      <c r="W547" s="225"/>
      <c r="X547" s="225"/>
    </row>
    <row r="548" spans="1:24" ht="13.8" x14ac:dyDescent="0.3">
      <c r="A548" s="225"/>
      <c r="B548" s="225"/>
      <c r="C548" s="225"/>
      <c r="D548" s="225"/>
      <c r="E548" s="225"/>
      <c r="F548" s="225"/>
      <c r="G548" s="225"/>
      <c r="H548" s="225"/>
      <c r="I548" s="225"/>
      <c r="J548" s="225"/>
      <c r="K548" s="225"/>
      <c r="L548" s="225"/>
      <c r="M548" s="225"/>
      <c r="N548" s="225"/>
      <c r="O548" s="225"/>
      <c r="P548" s="225"/>
      <c r="Q548" s="225"/>
      <c r="R548" s="225"/>
      <c r="S548" s="225"/>
      <c r="T548" s="225"/>
      <c r="U548" s="225"/>
      <c r="V548" s="225"/>
      <c r="W548" s="225"/>
      <c r="X548" s="225"/>
    </row>
    <row r="549" spans="1:24" ht="13.8" x14ac:dyDescent="0.3">
      <c r="A549" s="225"/>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row>
    <row r="550" spans="1:24" ht="13.8" x14ac:dyDescent="0.3">
      <c r="A550" s="225"/>
      <c r="B550" s="225"/>
      <c r="C550" s="225"/>
      <c r="D550" s="225"/>
      <c r="E550" s="225"/>
      <c r="F550" s="225"/>
      <c r="G550" s="225"/>
      <c r="H550" s="225"/>
      <c r="I550" s="225"/>
      <c r="J550" s="225"/>
      <c r="K550" s="225"/>
      <c r="L550" s="225"/>
      <c r="M550" s="225"/>
      <c r="N550" s="225"/>
      <c r="O550" s="225"/>
      <c r="P550" s="225"/>
      <c r="Q550" s="225"/>
      <c r="R550" s="225"/>
      <c r="S550" s="225"/>
      <c r="T550" s="225"/>
      <c r="U550" s="225"/>
      <c r="V550" s="225"/>
      <c r="W550" s="225"/>
      <c r="X550" s="225"/>
    </row>
    <row r="551" spans="1:24" ht="13.8" x14ac:dyDescent="0.3">
      <c r="A551" s="225"/>
      <c r="B551" s="225"/>
      <c r="C551" s="225"/>
      <c r="D551" s="225"/>
      <c r="E551" s="225"/>
      <c r="F551" s="225"/>
      <c r="G551" s="225"/>
      <c r="H551" s="225"/>
      <c r="I551" s="225"/>
      <c r="J551" s="225"/>
      <c r="K551" s="225"/>
      <c r="L551" s="225"/>
      <c r="M551" s="225"/>
      <c r="N551" s="225"/>
      <c r="O551" s="225"/>
      <c r="P551" s="225"/>
      <c r="Q551" s="225"/>
      <c r="R551" s="225"/>
      <c r="S551" s="225"/>
      <c r="T551" s="225"/>
      <c r="U551" s="225"/>
      <c r="V551" s="225"/>
      <c r="W551" s="225"/>
      <c r="X551" s="225"/>
    </row>
    <row r="552" spans="1:24" ht="13.8" x14ac:dyDescent="0.3">
      <c r="A552" s="225"/>
      <c r="B552" s="225"/>
      <c r="C552" s="225"/>
      <c r="D552" s="225"/>
      <c r="E552" s="225"/>
      <c r="F552" s="225"/>
      <c r="G552" s="225"/>
      <c r="H552" s="225"/>
      <c r="I552" s="225"/>
      <c r="J552" s="225"/>
      <c r="K552" s="225"/>
      <c r="L552" s="225"/>
      <c r="M552" s="225"/>
      <c r="N552" s="225"/>
      <c r="O552" s="225"/>
      <c r="P552" s="225"/>
      <c r="Q552" s="225"/>
      <c r="R552" s="225"/>
      <c r="S552" s="225"/>
      <c r="T552" s="225"/>
      <c r="U552" s="225"/>
      <c r="V552" s="225"/>
      <c r="W552" s="225"/>
      <c r="X552" s="225"/>
    </row>
    <row r="553" spans="1:24" ht="13.8" x14ac:dyDescent="0.3">
      <c r="A553" s="225"/>
      <c r="B553" s="225"/>
      <c r="C553" s="225"/>
      <c r="D553" s="225"/>
      <c r="E553" s="225"/>
      <c r="F553" s="225"/>
      <c r="G553" s="225"/>
      <c r="H553" s="225"/>
      <c r="I553" s="225"/>
      <c r="J553" s="225"/>
      <c r="K553" s="225"/>
      <c r="L553" s="225"/>
      <c r="M553" s="225"/>
      <c r="N553" s="225"/>
      <c r="O553" s="225"/>
      <c r="P553" s="225"/>
      <c r="Q553" s="225"/>
      <c r="R553" s="225"/>
      <c r="S553" s="225"/>
      <c r="T553" s="225"/>
      <c r="U553" s="225"/>
      <c r="V553" s="225"/>
      <c r="W553" s="225"/>
      <c r="X553" s="225"/>
    </row>
    <row r="554" spans="1:24" ht="13.8" x14ac:dyDescent="0.3">
      <c r="A554" s="225"/>
      <c r="B554" s="225"/>
      <c r="C554" s="225"/>
      <c r="D554" s="225"/>
      <c r="E554" s="225"/>
      <c r="F554" s="225"/>
      <c r="G554" s="225"/>
      <c r="H554" s="225"/>
      <c r="I554" s="225"/>
      <c r="J554" s="225"/>
      <c r="K554" s="225"/>
      <c r="L554" s="225"/>
      <c r="M554" s="225"/>
      <c r="N554" s="225"/>
      <c r="O554" s="225"/>
      <c r="P554" s="225"/>
      <c r="Q554" s="225"/>
      <c r="R554" s="225"/>
      <c r="S554" s="225"/>
      <c r="T554" s="225"/>
      <c r="U554" s="225"/>
      <c r="V554" s="225"/>
      <c r="W554" s="225"/>
      <c r="X554" s="225"/>
    </row>
    <row r="555" spans="1:24" ht="13.8" x14ac:dyDescent="0.3">
      <c r="A555" s="225"/>
      <c r="B555" s="225"/>
      <c r="C555" s="225"/>
      <c r="D555" s="225"/>
      <c r="E555" s="225"/>
      <c r="F555" s="225"/>
      <c r="G555" s="225"/>
      <c r="H555" s="225"/>
      <c r="I555" s="225"/>
      <c r="J555" s="225"/>
      <c r="K555" s="225"/>
      <c r="L555" s="225"/>
      <c r="M555" s="225"/>
      <c r="N555" s="225"/>
      <c r="O555" s="225"/>
      <c r="P555" s="225"/>
      <c r="Q555" s="225"/>
      <c r="R555" s="225"/>
      <c r="S555" s="225"/>
      <c r="T555" s="225"/>
      <c r="U555" s="225"/>
      <c r="V555" s="225"/>
      <c r="W555" s="225"/>
      <c r="X555" s="225"/>
    </row>
    <row r="556" spans="1:24" ht="13.8" x14ac:dyDescent="0.3">
      <c r="A556" s="225"/>
      <c r="B556" s="225"/>
      <c r="C556" s="225"/>
      <c r="D556" s="225"/>
      <c r="E556" s="225"/>
      <c r="F556" s="225"/>
      <c r="G556" s="225"/>
      <c r="H556" s="225"/>
      <c r="I556" s="225"/>
      <c r="J556" s="225"/>
      <c r="K556" s="225"/>
      <c r="L556" s="225"/>
      <c r="M556" s="225"/>
      <c r="N556" s="225"/>
      <c r="O556" s="225"/>
      <c r="P556" s="225"/>
      <c r="Q556" s="225"/>
      <c r="R556" s="225"/>
      <c r="S556" s="225"/>
      <c r="T556" s="225"/>
      <c r="U556" s="225"/>
      <c r="V556" s="225"/>
      <c r="W556" s="225"/>
      <c r="X556" s="225"/>
    </row>
    <row r="557" spans="1:24" ht="13.8" x14ac:dyDescent="0.3">
      <c r="A557" s="225"/>
      <c r="B557" s="225"/>
      <c r="C557" s="225"/>
      <c r="D557" s="225"/>
      <c r="E557" s="225"/>
      <c r="F557" s="225"/>
      <c r="G557" s="225"/>
      <c r="H557" s="225"/>
      <c r="I557" s="225"/>
      <c r="J557" s="225"/>
      <c r="K557" s="225"/>
      <c r="L557" s="225"/>
      <c r="M557" s="225"/>
      <c r="N557" s="225"/>
      <c r="O557" s="225"/>
      <c r="P557" s="225"/>
      <c r="Q557" s="225"/>
      <c r="R557" s="225"/>
      <c r="S557" s="225"/>
      <c r="T557" s="225"/>
      <c r="U557" s="225"/>
      <c r="V557" s="225"/>
      <c r="W557" s="225"/>
      <c r="X557" s="225"/>
    </row>
    <row r="558" spans="1:24" ht="13.8" x14ac:dyDescent="0.3">
      <c r="A558" s="225"/>
      <c r="B558" s="225"/>
      <c r="C558" s="225"/>
      <c r="D558" s="225"/>
      <c r="E558" s="225"/>
      <c r="F558" s="225"/>
      <c r="G558" s="225"/>
      <c r="H558" s="225"/>
      <c r="I558" s="225"/>
      <c r="J558" s="225"/>
      <c r="K558" s="225"/>
      <c r="L558" s="225"/>
      <c r="M558" s="225"/>
      <c r="N558" s="225"/>
      <c r="O558" s="225"/>
      <c r="P558" s="225"/>
      <c r="Q558" s="225"/>
      <c r="R558" s="225"/>
      <c r="S558" s="225"/>
      <c r="T558" s="225"/>
      <c r="U558" s="225"/>
      <c r="V558" s="225"/>
      <c r="W558" s="225"/>
      <c r="X558" s="225"/>
    </row>
    <row r="559" spans="1:24" ht="13.8" x14ac:dyDescent="0.3">
      <c r="A559" s="225"/>
      <c r="B559" s="225"/>
      <c r="C559" s="225"/>
      <c r="D559" s="225"/>
      <c r="E559" s="225"/>
      <c r="F559" s="225"/>
      <c r="G559" s="225"/>
      <c r="H559" s="225"/>
      <c r="I559" s="225"/>
      <c r="J559" s="225"/>
      <c r="K559" s="225"/>
      <c r="L559" s="225"/>
      <c r="M559" s="225"/>
      <c r="N559" s="225"/>
      <c r="O559" s="225"/>
      <c r="P559" s="225"/>
      <c r="Q559" s="225"/>
      <c r="R559" s="225"/>
      <c r="S559" s="225"/>
      <c r="T559" s="225"/>
      <c r="U559" s="225"/>
      <c r="V559" s="225"/>
      <c r="W559" s="225"/>
      <c r="X559" s="225"/>
    </row>
    <row r="560" spans="1:24" ht="13.8" x14ac:dyDescent="0.3">
      <c r="A560" s="225"/>
      <c r="B560" s="225"/>
      <c r="C560" s="225"/>
      <c r="D560" s="225"/>
      <c r="E560" s="225"/>
      <c r="F560" s="225"/>
      <c r="G560" s="225"/>
      <c r="H560" s="225"/>
      <c r="I560" s="225"/>
      <c r="J560" s="225"/>
      <c r="K560" s="225"/>
      <c r="L560" s="225"/>
      <c r="M560" s="225"/>
      <c r="N560" s="225"/>
      <c r="O560" s="225"/>
      <c r="P560" s="225"/>
      <c r="Q560" s="225"/>
      <c r="R560" s="225"/>
      <c r="S560" s="225"/>
      <c r="T560" s="225"/>
      <c r="U560" s="225"/>
      <c r="V560" s="225"/>
      <c r="W560" s="225"/>
      <c r="X560" s="225"/>
    </row>
    <row r="561" spans="1:24" ht="13.8" x14ac:dyDescent="0.3">
      <c r="A561" s="225"/>
      <c r="B561" s="225"/>
      <c r="C561" s="225"/>
      <c r="D561" s="225"/>
      <c r="E561" s="225"/>
      <c r="F561" s="225"/>
      <c r="G561" s="225"/>
      <c r="H561" s="225"/>
      <c r="I561" s="225"/>
      <c r="J561" s="225"/>
      <c r="K561" s="225"/>
      <c r="L561" s="225"/>
      <c r="M561" s="225"/>
      <c r="N561" s="225"/>
      <c r="O561" s="225"/>
      <c r="P561" s="225"/>
      <c r="Q561" s="225"/>
      <c r="R561" s="225"/>
      <c r="S561" s="225"/>
      <c r="T561" s="225"/>
      <c r="U561" s="225"/>
      <c r="V561" s="225"/>
      <c r="W561" s="225"/>
      <c r="X561" s="225"/>
    </row>
    <row r="562" spans="1:24" ht="13.8" x14ac:dyDescent="0.3">
      <c r="A562" s="225"/>
      <c r="B562" s="225"/>
      <c r="C562" s="225"/>
      <c r="D562" s="225"/>
      <c r="E562" s="225"/>
      <c r="F562" s="225"/>
      <c r="G562" s="225"/>
      <c r="H562" s="225"/>
      <c r="I562" s="225"/>
      <c r="J562" s="225"/>
      <c r="K562" s="225"/>
      <c r="L562" s="225"/>
      <c r="M562" s="225"/>
      <c r="N562" s="225"/>
      <c r="O562" s="225"/>
      <c r="P562" s="225"/>
      <c r="Q562" s="225"/>
      <c r="R562" s="225"/>
      <c r="S562" s="225"/>
      <c r="T562" s="225"/>
      <c r="U562" s="225"/>
      <c r="V562" s="225"/>
      <c r="W562" s="225"/>
      <c r="X562" s="225"/>
    </row>
    <row r="563" spans="1:24" ht="13.8" x14ac:dyDescent="0.3">
      <c r="A563" s="225"/>
      <c r="B563" s="225"/>
      <c r="C563" s="225"/>
      <c r="D563" s="225"/>
      <c r="E563" s="225"/>
      <c r="F563" s="225"/>
      <c r="G563" s="225"/>
      <c r="H563" s="225"/>
      <c r="I563" s="225"/>
      <c r="J563" s="225"/>
      <c r="K563" s="225"/>
      <c r="L563" s="225"/>
      <c r="M563" s="225"/>
      <c r="N563" s="225"/>
      <c r="O563" s="225"/>
      <c r="P563" s="225"/>
      <c r="Q563" s="225"/>
      <c r="R563" s="225"/>
      <c r="S563" s="225"/>
      <c r="T563" s="225"/>
      <c r="U563" s="225"/>
      <c r="V563" s="225"/>
      <c r="W563" s="225"/>
      <c r="X563" s="225"/>
    </row>
    <row r="564" spans="1:24" ht="13.8" x14ac:dyDescent="0.3">
      <c r="A564" s="225"/>
      <c r="B564" s="225"/>
      <c r="C564" s="225"/>
      <c r="D564" s="225"/>
      <c r="E564" s="225"/>
      <c r="F564" s="225"/>
      <c r="G564" s="225"/>
      <c r="H564" s="225"/>
      <c r="I564" s="225"/>
      <c r="J564" s="225"/>
      <c r="K564" s="225"/>
      <c r="L564" s="225"/>
      <c r="M564" s="225"/>
      <c r="N564" s="225"/>
      <c r="O564" s="225"/>
      <c r="P564" s="225"/>
      <c r="Q564" s="225"/>
      <c r="R564" s="225"/>
      <c r="S564" s="225"/>
      <c r="T564" s="225"/>
      <c r="U564" s="225"/>
      <c r="V564" s="225"/>
      <c r="W564" s="225"/>
      <c r="X564" s="225"/>
    </row>
    <row r="565" spans="1:24" ht="13.8" x14ac:dyDescent="0.3">
      <c r="A565" s="225"/>
      <c r="B565" s="225"/>
      <c r="C565" s="225"/>
      <c r="D565" s="225"/>
      <c r="E565" s="225"/>
      <c r="F565" s="225"/>
      <c r="G565" s="225"/>
      <c r="H565" s="225"/>
      <c r="I565" s="225"/>
      <c r="J565" s="225"/>
      <c r="K565" s="225"/>
      <c r="L565" s="225"/>
      <c r="M565" s="225"/>
      <c r="N565" s="225"/>
      <c r="O565" s="225"/>
      <c r="P565" s="225"/>
      <c r="Q565" s="225"/>
      <c r="R565" s="225"/>
      <c r="S565" s="225"/>
      <c r="T565" s="225"/>
      <c r="U565" s="225"/>
      <c r="V565" s="225"/>
      <c r="W565" s="225"/>
      <c r="X565" s="225"/>
    </row>
    <row r="566" spans="1:24" ht="13.8" x14ac:dyDescent="0.3">
      <c r="A566" s="225"/>
      <c r="B566" s="225"/>
      <c r="C566" s="225"/>
      <c r="D566" s="225"/>
      <c r="E566" s="225"/>
      <c r="F566" s="225"/>
      <c r="G566" s="225"/>
      <c r="H566" s="225"/>
      <c r="I566" s="225"/>
      <c r="J566" s="225"/>
      <c r="K566" s="225"/>
      <c r="L566" s="225"/>
      <c r="M566" s="225"/>
      <c r="N566" s="225"/>
      <c r="O566" s="225"/>
      <c r="P566" s="225"/>
      <c r="Q566" s="225"/>
      <c r="R566" s="225"/>
      <c r="S566" s="225"/>
      <c r="T566" s="225"/>
      <c r="U566" s="225"/>
      <c r="V566" s="225"/>
      <c r="W566" s="225"/>
      <c r="X566" s="225"/>
    </row>
    <row r="567" spans="1:24" ht="13.8" x14ac:dyDescent="0.3">
      <c r="A567" s="225"/>
      <c r="B567" s="225"/>
      <c r="C567" s="225"/>
      <c r="D567" s="225"/>
      <c r="E567" s="225"/>
      <c r="F567" s="225"/>
      <c r="G567" s="225"/>
      <c r="H567" s="225"/>
      <c r="I567" s="225"/>
      <c r="J567" s="225"/>
      <c r="K567" s="225"/>
      <c r="L567" s="225"/>
      <c r="M567" s="225"/>
      <c r="N567" s="225"/>
      <c r="O567" s="225"/>
      <c r="P567" s="225"/>
      <c r="Q567" s="225"/>
      <c r="R567" s="225"/>
      <c r="S567" s="225"/>
      <c r="T567" s="225"/>
      <c r="U567" s="225"/>
      <c r="V567" s="225"/>
      <c r="W567" s="225"/>
      <c r="X567" s="225"/>
    </row>
    <row r="568" spans="1:24" ht="13.8" x14ac:dyDescent="0.3">
      <c r="A568" s="225"/>
      <c r="B568" s="225"/>
      <c r="C568" s="225"/>
      <c r="D568" s="225"/>
      <c r="E568" s="225"/>
      <c r="F568" s="225"/>
      <c r="G568" s="225"/>
      <c r="H568" s="225"/>
      <c r="I568" s="225"/>
      <c r="J568" s="225"/>
      <c r="K568" s="225"/>
      <c r="L568" s="225"/>
      <c r="M568" s="225"/>
      <c r="N568" s="225"/>
      <c r="O568" s="225"/>
      <c r="P568" s="225"/>
      <c r="Q568" s="225"/>
      <c r="R568" s="225"/>
      <c r="S568" s="225"/>
      <c r="T568" s="225"/>
      <c r="U568" s="225"/>
      <c r="V568" s="225"/>
      <c r="W568" s="225"/>
      <c r="X568" s="225"/>
    </row>
    <row r="569" spans="1:24" ht="13.8" x14ac:dyDescent="0.3">
      <c r="A569" s="225"/>
      <c r="B569" s="225"/>
      <c r="C569" s="225"/>
      <c r="D569" s="225"/>
      <c r="E569" s="225"/>
      <c r="F569" s="225"/>
      <c r="G569" s="225"/>
      <c r="H569" s="225"/>
      <c r="I569" s="225"/>
      <c r="J569" s="225"/>
      <c r="K569" s="225"/>
      <c r="L569" s="225"/>
      <c r="M569" s="225"/>
      <c r="N569" s="225"/>
      <c r="O569" s="225"/>
      <c r="P569" s="225"/>
      <c r="Q569" s="225"/>
      <c r="R569" s="225"/>
      <c r="S569" s="225"/>
      <c r="T569" s="225"/>
      <c r="U569" s="225"/>
      <c r="V569" s="225"/>
      <c r="W569" s="225"/>
      <c r="X569" s="225"/>
    </row>
    <row r="570" spans="1:24" ht="13.8" x14ac:dyDescent="0.3">
      <c r="A570" s="225"/>
      <c r="B570" s="225"/>
      <c r="C570" s="225"/>
      <c r="D570" s="225"/>
      <c r="E570" s="225"/>
      <c r="F570" s="225"/>
      <c r="G570" s="225"/>
      <c r="H570" s="225"/>
      <c r="I570" s="225"/>
      <c r="J570" s="225"/>
      <c r="K570" s="225"/>
      <c r="L570" s="225"/>
      <c r="M570" s="225"/>
      <c r="N570" s="225"/>
      <c r="O570" s="225"/>
      <c r="P570" s="225"/>
      <c r="Q570" s="225"/>
      <c r="R570" s="225"/>
      <c r="S570" s="225"/>
      <c r="T570" s="225"/>
      <c r="U570" s="225"/>
      <c r="V570" s="225"/>
      <c r="W570" s="225"/>
      <c r="X570" s="225"/>
    </row>
    <row r="571" spans="1:24" ht="13.8" x14ac:dyDescent="0.3">
      <c r="A571" s="225"/>
      <c r="B571" s="225"/>
      <c r="C571" s="225"/>
      <c r="D571" s="225"/>
      <c r="E571" s="225"/>
      <c r="F571" s="225"/>
      <c r="G571" s="225"/>
      <c r="H571" s="225"/>
      <c r="I571" s="225"/>
      <c r="J571" s="225"/>
      <c r="K571" s="225"/>
      <c r="L571" s="225"/>
      <c r="M571" s="225"/>
      <c r="N571" s="225"/>
      <c r="O571" s="225"/>
      <c r="P571" s="225"/>
      <c r="Q571" s="225"/>
      <c r="R571" s="225"/>
      <c r="S571" s="225"/>
      <c r="T571" s="225"/>
      <c r="U571" s="225"/>
      <c r="V571" s="225"/>
      <c r="W571" s="225"/>
      <c r="X571" s="225"/>
    </row>
    <row r="572" spans="1:24" ht="13.8" x14ac:dyDescent="0.3">
      <c r="A572" s="225"/>
      <c r="B572" s="225"/>
      <c r="C572" s="225"/>
      <c r="D572" s="225"/>
      <c r="E572" s="225"/>
      <c r="F572" s="225"/>
      <c r="G572" s="225"/>
      <c r="H572" s="225"/>
      <c r="I572" s="225"/>
      <c r="J572" s="225"/>
      <c r="K572" s="225"/>
      <c r="L572" s="225"/>
      <c r="M572" s="225"/>
      <c r="N572" s="225"/>
      <c r="O572" s="225"/>
      <c r="P572" s="225"/>
      <c r="Q572" s="225"/>
      <c r="R572" s="225"/>
      <c r="S572" s="225"/>
      <c r="T572" s="225"/>
      <c r="U572" s="225"/>
      <c r="V572" s="225"/>
      <c r="W572" s="225"/>
      <c r="X572" s="225"/>
    </row>
    <row r="573" spans="1:24" ht="13.8" x14ac:dyDescent="0.3">
      <c r="A573" s="225"/>
      <c r="B573" s="225"/>
      <c r="C573" s="225"/>
      <c r="D573" s="225"/>
      <c r="E573" s="225"/>
      <c r="F573" s="225"/>
      <c r="G573" s="225"/>
      <c r="H573" s="225"/>
      <c r="I573" s="225"/>
      <c r="J573" s="225"/>
      <c r="K573" s="225"/>
      <c r="L573" s="225"/>
      <c r="M573" s="225"/>
      <c r="N573" s="225"/>
      <c r="O573" s="225"/>
      <c r="P573" s="225"/>
      <c r="Q573" s="225"/>
      <c r="R573" s="225"/>
      <c r="S573" s="225"/>
      <c r="T573" s="225"/>
      <c r="U573" s="225"/>
      <c r="V573" s="225"/>
      <c r="W573" s="225"/>
      <c r="X573" s="225"/>
    </row>
    <row r="574" spans="1:24" ht="13.8" x14ac:dyDescent="0.3">
      <c r="A574" s="225"/>
      <c r="B574" s="225"/>
      <c r="C574" s="225"/>
      <c r="D574" s="225"/>
      <c r="E574" s="225"/>
      <c r="F574" s="225"/>
      <c r="G574" s="225"/>
      <c r="H574" s="225"/>
      <c r="I574" s="225"/>
      <c r="J574" s="225"/>
      <c r="K574" s="225"/>
      <c r="L574" s="225"/>
      <c r="M574" s="225"/>
      <c r="N574" s="225"/>
      <c r="O574" s="225"/>
      <c r="P574" s="225"/>
      <c r="Q574" s="225"/>
      <c r="R574" s="225"/>
      <c r="S574" s="225"/>
      <c r="T574" s="225"/>
      <c r="U574" s="225"/>
      <c r="V574" s="225"/>
      <c r="W574" s="225"/>
      <c r="X574" s="225"/>
    </row>
    <row r="575" spans="1:24" ht="13.8" x14ac:dyDescent="0.3">
      <c r="A575" s="225"/>
      <c r="B575" s="225"/>
      <c r="C575" s="225"/>
      <c r="D575" s="225"/>
      <c r="E575" s="225"/>
      <c r="F575" s="225"/>
      <c r="G575" s="225"/>
      <c r="H575" s="225"/>
      <c r="I575" s="225"/>
      <c r="J575" s="225"/>
      <c r="K575" s="225"/>
      <c r="L575" s="225"/>
      <c r="M575" s="225"/>
      <c r="N575" s="225"/>
      <c r="O575" s="225"/>
      <c r="P575" s="225"/>
      <c r="Q575" s="225"/>
      <c r="R575" s="225"/>
      <c r="S575" s="225"/>
      <c r="T575" s="225"/>
      <c r="U575" s="225"/>
      <c r="V575" s="225"/>
      <c r="W575" s="225"/>
      <c r="X575" s="225"/>
    </row>
    <row r="576" spans="1:24" ht="13.8" x14ac:dyDescent="0.3">
      <c r="A576" s="225"/>
      <c r="B576" s="225"/>
      <c r="C576" s="225"/>
      <c r="D576" s="225"/>
      <c r="E576" s="225"/>
      <c r="F576" s="225"/>
      <c r="G576" s="225"/>
      <c r="H576" s="225"/>
      <c r="I576" s="225"/>
      <c r="J576" s="225"/>
      <c r="K576" s="225"/>
      <c r="L576" s="225"/>
      <c r="M576" s="225"/>
      <c r="N576" s="225"/>
      <c r="O576" s="225"/>
      <c r="P576" s="225"/>
      <c r="Q576" s="225"/>
      <c r="R576" s="225"/>
      <c r="S576" s="225"/>
      <c r="T576" s="225"/>
      <c r="U576" s="225"/>
      <c r="V576" s="225"/>
      <c r="W576" s="225"/>
      <c r="X576" s="225"/>
    </row>
    <row r="577" spans="1:24" ht="13.8" x14ac:dyDescent="0.3">
      <c r="A577" s="225"/>
      <c r="B577" s="225"/>
      <c r="C577" s="225"/>
      <c r="D577" s="225"/>
      <c r="E577" s="225"/>
      <c r="F577" s="225"/>
      <c r="G577" s="225"/>
      <c r="H577" s="225"/>
      <c r="I577" s="225"/>
      <c r="J577" s="225"/>
      <c r="K577" s="225"/>
      <c r="L577" s="225"/>
      <c r="M577" s="225"/>
      <c r="N577" s="225"/>
      <c r="O577" s="225"/>
      <c r="P577" s="225"/>
      <c r="Q577" s="225"/>
      <c r="R577" s="225"/>
      <c r="S577" s="225"/>
      <c r="T577" s="225"/>
      <c r="U577" s="225"/>
      <c r="V577" s="225"/>
      <c r="W577" s="225"/>
      <c r="X577" s="225"/>
    </row>
    <row r="578" spans="1:24" ht="13.8" x14ac:dyDescent="0.3">
      <c r="A578" s="225"/>
      <c r="B578" s="225"/>
      <c r="C578" s="225"/>
      <c r="D578" s="225"/>
      <c r="E578" s="225"/>
      <c r="F578" s="225"/>
      <c r="G578" s="225"/>
      <c r="H578" s="225"/>
      <c r="I578" s="225"/>
      <c r="J578" s="225"/>
      <c r="K578" s="225"/>
      <c r="L578" s="225"/>
      <c r="M578" s="225"/>
      <c r="N578" s="225"/>
      <c r="O578" s="225"/>
      <c r="P578" s="225"/>
      <c r="Q578" s="225"/>
      <c r="R578" s="225"/>
      <c r="S578" s="225"/>
      <c r="T578" s="225"/>
      <c r="U578" s="225"/>
      <c r="V578" s="225"/>
      <c r="W578" s="225"/>
      <c r="X578" s="225"/>
    </row>
    <row r="579" spans="1:24" ht="13.8" x14ac:dyDescent="0.3">
      <c r="A579" s="225"/>
      <c r="B579" s="225"/>
      <c r="C579" s="225"/>
      <c r="D579" s="225"/>
      <c r="E579" s="225"/>
      <c r="F579" s="225"/>
      <c r="G579" s="225"/>
      <c r="H579" s="225"/>
      <c r="I579" s="225"/>
      <c r="J579" s="225"/>
      <c r="K579" s="225"/>
      <c r="L579" s="225"/>
      <c r="M579" s="225"/>
      <c r="N579" s="225"/>
      <c r="O579" s="225"/>
      <c r="P579" s="225"/>
      <c r="Q579" s="225"/>
      <c r="R579" s="225"/>
      <c r="S579" s="225"/>
      <c r="T579" s="225"/>
      <c r="U579" s="225"/>
      <c r="V579" s="225"/>
      <c r="W579" s="225"/>
      <c r="X579" s="225"/>
    </row>
    <row r="580" spans="1:24" ht="13.8" x14ac:dyDescent="0.3">
      <c r="A580" s="225"/>
      <c r="B580" s="225"/>
      <c r="C580" s="225"/>
      <c r="D580" s="225"/>
      <c r="E580" s="225"/>
      <c r="F580" s="225"/>
      <c r="G580" s="225"/>
      <c r="H580" s="225"/>
      <c r="I580" s="225"/>
      <c r="J580" s="225"/>
      <c r="K580" s="225"/>
      <c r="L580" s="225"/>
      <c r="M580" s="225"/>
      <c r="N580" s="225"/>
      <c r="O580" s="225"/>
      <c r="P580" s="225"/>
      <c r="Q580" s="225"/>
      <c r="R580" s="225"/>
      <c r="S580" s="225"/>
      <c r="T580" s="225"/>
      <c r="U580" s="225"/>
      <c r="V580" s="225"/>
      <c r="W580" s="225"/>
      <c r="X580" s="225"/>
    </row>
    <row r="581" spans="1:24" ht="13.8" x14ac:dyDescent="0.3">
      <c r="A581" s="225"/>
      <c r="B581" s="225"/>
      <c r="C581" s="225"/>
      <c r="D581" s="225"/>
      <c r="E581" s="225"/>
      <c r="F581" s="225"/>
      <c r="G581" s="225"/>
      <c r="H581" s="225"/>
      <c r="I581" s="225"/>
      <c r="J581" s="225"/>
      <c r="K581" s="225"/>
      <c r="L581" s="225"/>
      <c r="M581" s="225"/>
      <c r="N581" s="225"/>
      <c r="O581" s="225"/>
      <c r="P581" s="225"/>
      <c r="Q581" s="225"/>
      <c r="R581" s="225"/>
      <c r="S581" s="225"/>
      <c r="T581" s="225"/>
      <c r="U581" s="225"/>
      <c r="V581" s="225"/>
      <c r="W581" s="225"/>
      <c r="X581" s="225"/>
    </row>
    <row r="582" spans="1:24" ht="13.8" x14ac:dyDescent="0.3">
      <c r="A582" s="225"/>
      <c r="B582" s="225"/>
      <c r="C582" s="225"/>
      <c r="D582" s="225"/>
      <c r="E582" s="225"/>
      <c r="F582" s="225"/>
      <c r="G582" s="225"/>
      <c r="H582" s="225"/>
      <c r="I582" s="225"/>
      <c r="J582" s="225"/>
      <c r="K582" s="225"/>
      <c r="L582" s="225"/>
      <c r="M582" s="225"/>
      <c r="N582" s="225"/>
      <c r="O582" s="225"/>
      <c r="P582" s="225"/>
      <c r="Q582" s="225"/>
      <c r="R582" s="225"/>
      <c r="S582" s="225"/>
      <c r="T582" s="225"/>
      <c r="U582" s="225"/>
      <c r="V582" s="225"/>
      <c r="W582" s="225"/>
      <c r="X582" s="225"/>
    </row>
    <row r="583" spans="1:24" ht="13.8" x14ac:dyDescent="0.3">
      <c r="A583" s="225"/>
      <c r="B583" s="225"/>
      <c r="C583" s="225"/>
      <c r="D583" s="225"/>
      <c r="E583" s="225"/>
      <c r="F583" s="225"/>
      <c r="G583" s="225"/>
      <c r="H583" s="225"/>
      <c r="I583" s="225"/>
      <c r="J583" s="225"/>
      <c r="K583" s="225"/>
      <c r="L583" s="225"/>
      <c r="M583" s="225"/>
      <c r="N583" s="225"/>
      <c r="O583" s="225"/>
      <c r="P583" s="225"/>
      <c r="Q583" s="225"/>
      <c r="R583" s="225"/>
      <c r="S583" s="225"/>
      <c r="T583" s="225"/>
      <c r="U583" s="225"/>
      <c r="V583" s="225"/>
      <c r="W583" s="225"/>
      <c r="X583" s="225"/>
    </row>
    <row r="584" spans="1:24" ht="13.8" x14ac:dyDescent="0.3">
      <c r="A584" s="225"/>
      <c r="B584" s="225"/>
      <c r="C584" s="225"/>
      <c r="D584" s="225"/>
      <c r="E584" s="225"/>
      <c r="F584" s="225"/>
      <c r="G584" s="225"/>
      <c r="H584" s="225"/>
      <c r="I584" s="225"/>
      <c r="J584" s="225"/>
      <c r="K584" s="225"/>
      <c r="L584" s="225"/>
      <c r="M584" s="225"/>
      <c r="N584" s="225"/>
      <c r="O584" s="225"/>
      <c r="P584" s="225"/>
      <c r="Q584" s="225"/>
      <c r="R584" s="225"/>
      <c r="S584" s="225"/>
      <c r="T584" s="225"/>
      <c r="U584" s="225"/>
      <c r="V584" s="225"/>
      <c r="W584" s="225"/>
      <c r="X584" s="225"/>
    </row>
    <row r="585" spans="1:24" ht="13.8" x14ac:dyDescent="0.3">
      <c r="A585" s="225"/>
      <c r="B585" s="225"/>
      <c r="C585" s="225"/>
      <c r="D585" s="225"/>
      <c r="E585" s="225"/>
      <c r="F585" s="225"/>
      <c r="G585" s="225"/>
      <c r="H585" s="225"/>
      <c r="I585" s="225"/>
      <c r="J585" s="225"/>
      <c r="K585" s="225"/>
      <c r="L585" s="225"/>
      <c r="M585" s="225"/>
      <c r="N585" s="225"/>
      <c r="O585" s="225"/>
      <c r="P585" s="225"/>
      <c r="Q585" s="225"/>
      <c r="R585" s="225"/>
      <c r="S585" s="225"/>
      <c r="T585" s="225"/>
      <c r="U585" s="225"/>
      <c r="V585" s="225"/>
      <c r="W585" s="225"/>
      <c r="X585" s="225"/>
    </row>
    <row r="586" spans="1:24" ht="13.8" x14ac:dyDescent="0.3">
      <c r="A586" s="225"/>
      <c r="B586" s="225"/>
      <c r="C586" s="225"/>
      <c r="D586" s="225"/>
      <c r="E586" s="225"/>
      <c r="F586" s="225"/>
      <c r="G586" s="225"/>
      <c r="H586" s="225"/>
      <c r="I586" s="225"/>
      <c r="J586" s="225"/>
      <c r="K586" s="225"/>
      <c r="L586" s="225"/>
      <c r="M586" s="225"/>
      <c r="N586" s="225"/>
      <c r="O586" s="225"/>
      <c r="P586" s="225"/>
      <c r="Q586" s="225"/>
      <c r="R586" s="225"/>
      <c r="S586" s="225"/>
      <c r="T586" s="225"/>
      <c r="U586" s="225"/>
      <c r="V586" s="225"/>
      <c r="W586" s="225"/>
      <c r="X586" s="225"/>
    </row>
    <row r="587" spans="1:24" ht="13.8" x14ac:dyDescent="0.3">
      <c r="A587" s="225"/>
      <c r="B587" s="225"/>
      <c r="C587" s="225"/>
      <c r="D587" s="225"/>
      <c r="E587" s="225"/>
      <c r="F587" s="225"/>
      <c r="G587" s="225"/>
      <c r="H587" s="225"/>
      <c r="I587" s="225"/>
      <c r="J587" s="225"/>
      <c r="K587" s="225"/>
      <c r="L587" s="225"/>
      <c r="M587" s="225"/>
      <c r="N587" s="225"/>
      <c r="O587" s="225"/>
      <c r="P587" s="225"/>
      <c r="Q587" s="225"/>
      <c r="R587" s="225"/>
      <c r="S587" s="225"/>
      <c r="T587" s="225"/>
      <c r="U587" s="225"/>
      <c r="V587" s="225"/>
      <c r="W587" s="225"/>
      <c r="X587" s="225"/>
    </row>
    <row r="588" spans="1:24" ht="13.8" x14ac:dyDescent="0.3">
      <c r="A588" s="225"/>
      <c r="B588" s="225"/>
      <c r="C588" s="225"/>
      <c r="D588" s="225"/>
      <c r="E588" s="225"/>
      <c r="F588" s="225"/>
      <c r="G588" s="225"/>
      <c r="H588" s="225"/>
      <c r="I588" s="225"/>
      <c r="J588" s="225"/>
      <c r="K588" s="225"/>
      <c r="L588" s="225"/>
      <c r="M588" s="225"/>
      <c r="N588" s="225"/>
      <c r="O588" s="225"/>
      <c r="P588" s="225"/>
      <c r="Q588" s="225"/>
      <c r="R588" s="225"/>
      <c r="S588" s="225"/>
      <c r="T588" s="225"/>
      <c r="U588" s="225"/>
      <c r="V588" s="225"/>
      <c r="W588" s="225"/>
      <c r="X588" s="225"/>
    </row>
    <row r="589" spans="1:24" ht="13.8" x14ac:dyDescent="0.3">
      <c r="A589" s="225"/>
      <c r="B589" s="225"/>
      <c r="C589" s="225"/>
      <c r="D589" s="225"/>
      <c r="E589" s="225"/>
      <c r="F589" s="225"/>
      <c r="G589" s="225"/>
      <c r="H589" s="225"/>
      <c r="I589" s="225"/>
      <c r="J589" s="225"/>
      <c r="K589" s="225"/>
      <c r="L589" s="225"/>
      <c r="M589" s="225"/>
      <c r="N589" s="225"/>
      <c r="O589" s="225"/>
      <c r="P589" s="225"/>
      <c r="Q589" s="225"/>
      <c r="R589" s="225"/>
      <c r="S589" s="225"/>
      <c r="T589" s="225"/>
      <c r="U589" s="225"/>
      <c r="V589" s="225"/>
      <c r="W589" s="225"/>
      <c r="X589" s="225"/>
    </row>
    <row r="590" spans="1:24" ht="13.8" x14ac:dyDescent="0.3">
      <c r="A590" s="225"/>
      <c r="B590" s="225"/>
      <c r="C590" s="225"/>
      <c r="D590" s="225"/>
      <c r="E590" s="225"/>
      <c r="F590" s="225"/>
      <c r="G590" s="225"/>
      <c r="H590" s="225"/>
      <c r="I590" s="225"/>
      <c r="J590" s="225"/>
      <c r="K590" s="225"/>
      <c r="L590" s="225"/>
      <c r="M590" s="225"/>
      <c r="N590" s="225"/>
      <c r="O590" s="225"/>
      <c r="P590" s="225"/>
      <c r="Q590" s="225"/>
      <c r="R590" s="225"/>
      <c r="S590" s="225"/>
      <c r="T590" s="225"/>
      <c r="U590" s="225"/>
      <c r="V590" s="225"/>
      <c r="W590" s="225"/>
      <c r="X590" s="225"/>
    </row>
    <row r="591" spans="1:24" ht="13.8" x14ac:dyDescent="0.3">
      <c r="A591" s="225"/>
      <c r="B591" s="225"/>
      <c r="C591" s="225"/>
      <c r="D591" s="225"/>
      <c r="E591" s="225"/>
      <c r="F591" s="225"/>
      <c r="G591" s="225"/>
      <c r="H591" s="225"/>
      <c r="I591" s="225"/>
      <c r="J591" s="225"/>
      <c r="K591" s="225"/>
      <c r="L591" s="225"/>
      <c r="M591" s="225"/>
      <c r="N591" s="225"/>
      <c r="O591" s="225"/>
      <c r="P591" s="225"/>
      <c r="Q591" s="225"/>
      <c r="R591" s="225"/>
      <c r="S591" s="225"/>
      <c r="T591" s="225"/>
      <c r="U591" s="225"/>
      <c r="V591" s="225"/>
      <c r="W591" s="225"/>
      <c r="X591" s="225"/>
    </row>
    <row r="592" spans="1:24" ht="13.8" x14ac:dyDescent="0.3">
      <c r="A592" s="225"/>
      <c r="B592" s="225"/>
      <c r="C592" s="225"/>
      <c r="D592" s="225"/>
      <c r="E592" s="225"/>
      <c r="F592" s="225"/>
      <c r="G592" s="225"/>
      <c r="H592" s="225"/>
      <c r="I592" s="225"/>
      <c r="J592" s="225"/>
      <c r="K592" s="225"/>
      <c r="L592" s="225"/>
      <c r="M592" s="225"/>
      <c r="N592" s="225"/>
      <c r="O592" s="225"/>
      <c r="P592" s="225"/>
      <c r="Q592" s="225"/>
      <c r="R592" s="225"/>
      <c r="S592" s="225"/>
      <c r="T592" s="225"/>
      <c r="U592" s="225"/>
      <c r="V592" s="225"/>
      <c r="W592" s="225"/>
      <c r="X592" s="225"/>
    </row>
    <row r="593" spans="1:24" ht="13.8" x14ac:dyDescent="0.3">
      <c r="A593" s="225"/>
      <c r="B593" s="225"/>
      <c r="C593" s="225"/>
      <c r="D593" s="225"/>
      <c r="E593" s="225"/>
      <c r="F593" s="225"/>
      <c r="G593" s="225"/>
      <c r="H593" s="225"/>
      <c r="I593" s="225"/>
      <c r="J593" s="225"/>
      <c r="K593" s="225"/>
      <c r="L593" s="225"/>
      <c r="M593" s="225"/>
      <c r="N593" s="225"/>
      <c r="O593" s="225"/>
      <c r="P593" s="225"/>
      <c r="Q593" s="225"/>
      <c r="R593" s="225"/>
      <c r="S593" s="225"/>
      <c r="T593" s="225"/>
      <c r="U593" s="225"/>
      <c r="V593" s="225"/>
      <c r="W593" s="225"/>
      <c r="X593" s="225"/>
    </row>
    <row r="594" spans="1:24" ht="13.8" x14ac:dyDescent="0.3">
      <c r="A594" s="225"/>
      <c r="B594" s="225"/>
      <c r="C594" s="225"/>
      <c r="D594" s="225"/>
      <c r="E594" s="225"/>
      <c r="F594" s="225"/>
      <c r="G594" s="225"/>
      <c r="H594" s="225"/>
      <c r="I594" s="225"/>
      <c r="J594" s="225"/>
      <c r="K594" s="225"/>
      <c r="L594" s="225"/>
      <c r="M594" s="225"/>
      <c r="N594" s="225"/>
      <c r="O594" s="225"/>
      <c r="P594" s="225"/>
      <c r="Q594" s="225"/>
      <c r="R594" s="225"/>
      <c r="S594" s="225"/>
      <c r="T594" s="225"/>
      <c r="U594" s="225"/>
      <c r="V594" s="225"/>
      <c r="W594" s="225"/>
      <c r="X594" s="225"/>
    </row>
    <row r="595" spans="1:24" ht="13.8" x14ac:dyDescent="0.3">
      <c r="A595" s="225"/>
      <c r="B595" s="225"/>
      <c r="C595" s="225"/>
      <c r="D595" s="225"/>
      <c r="E595" s="225"/>
      <c r="F595" s="225"/>
      <c r="G595" s="225"/>
      <c r="H595" s="225"/>
      <c r="I595" s="225"/>
      <c r="J595" s="225"/>
      <c r="K595" s="225"/>
      <c r="L595" s="225"/>
      <c r="M595" s="225"/>
      <c r="N595" s="225"/>
      <c r="O595" s="225"/>
      <c r="P595" s="225"/>
      <c r="Q595" s="225"/>
      <c r="R595" s="225"/>
      <c r="S595" s="225"/>
      <c r="T595" s="225"/>
      <c r="U595" s="225"/>
      <c r="V595" s="225"/>
      <c r="W595" s="225"/>
      <c r="X595" s="225"/>
    </row>
    <row r="596" spans="1:24" ht="13.8" x14ac:dyDescent="0.3">
      <c r="A596" s="225"/>
      <c r="B596" s="225"/>
      <c r="C596" s="225"/>
      <c r="D596" s="225"/>
      <c r="E596" s="225"/>
      <c r="F596" s="225"/>
      <c r="G596" s="225"/>
      <c r="H596" s="225"/>
      <c r="I596" s="225"/>
      <c r="J596" s="225"/>
      <c r="K596" s="225"/>
      <c r="L596" s="225"/>
      <c r="M596" s="225"/>
      <c r="N596" s="225"/>
      <c r="O596" s="225"/>
      <c r="P596" s="225"/>
      <c r="Q596" s="225"/>
      <c r="R596" s="225"/>
      <c r="S596" s="225"/>
      <c r="T596" s="225"/>
      <c r="U596" s="225"/>
      <c r="V596" s="225"/>
      <c r="W596" s="225"/>
      <c r="X596" s="225"/>
    </row>
    <row r="597" spans="1:24" ht="13.8" x14ac:dyDescent="0.3">
      <c r="A597" s="225"/>
      <c r="B597" s="225"/>
      <c r="C597" s="225"/>
      <c r="D597" s="225"/>
      <c r="E597" s="225"/>
      <c r="F597" s="225"/>
      <c r="G597" s="225"/>
      <c r="H597" s="225"/>
      <c r="I597" s="225"/>
      <c r="J597" s="225"/>
      <c r="K597" s="225"/>
      <c r="L597" s="225"/>
      <c r="M597" s="225"/>
      <c r="N597" s="225"/>
      <c r="O597" s="225"/>
      <c r="P597" s="225"/>
      <c r="Q597" s="225"/>
      <c r="R597" s="225"/>
      <c r="S597" s="225"/>
      <c r="T597" s="225"/>
      <c r="U597" s="225"/>
      <c r="V597" s="225"/>
      <c r="W597" s="225"/>
      <c r="X597" s="225"/>
    </row>
    <row r="598" spans="1:24" ht="13.8" x14ac:dyDescent="0.3">
      <c r="A598" s="225"/>
      <c r="B598" s="225"/>
      <c r="C598" s="225"/>
      <c r="D598" s="225"/>
      <c r="E598" s="225"/>
      <c r="F598" s="225"/>
      <c r="G598" s="225"/>
      <c r="H598" s="225"/>
      <c r="I598" s="225"/>
      <c r="J598" s="225"/>
      <c r="K598" s="225"/>
      <c r="L598" s="225"/>
      <c r="M598" s="225"/>
      <c r="N598" s="225"/>
      <c r="O598" s="225"/>
      <c r="P598" s="225"/>
      <c r="Q598" s="225"/>
      <c r="R598" s="225"/>
      <c r="S598" s="225"/>
      <c r="T598" s="225"/>
      <c r="U598" s="225"/>
      <c r="V598" s="225"/>
      <c r="W598" s="225"/>
      <c r="X598" s="225"/>
    </row>
    <row r="599" spans="1:24" ht="13.8" x14ac:dyDescent="0.3">
      <c r="A599" s="225"/>
      <c r="B599" s="225"/>
      <c r="C599" s="225"/>
      <c r="D599" s="225"/>
      <c r="E599" s="225"/>
      <c r="F599" s="225"/>
      <c r="G599" s="225"/>
      <c r="H599" s="225"/>
      <c r="I599" s="225"/>
      <c r="J599" s="225"/>
      <c r="K599" s="225"/>
      <c r="L599" s="225"/>
      <c r="M599" s="225"/>
      <c r="N599" s="225"/>
      <c r="O599" s="225"/>
      <c r="P599" s="225"/>
      <c r="Q599" s="225"/>
      <c r="R599" s="225"/>
      <c r="S599" s="225"/>
      <c r="T599" s="225"/>
      <c r="U599" s="225"/>
      <c r="V599" s="225"/>
      <c r="W599" s="225"/>
      <c r="X599" s="225"/>
    </row>
    <row r="600" spans="1:24" ht="13.8" x14ac:dyDescent="0.3">
      <c r="A600" s="225"/>
      <c r="B600" s="225"/>
      <c r="C600" s="225"/>
      <c r="D600" s="225"/>
      <c r="E600" s="225"/>
      <c r="F600" s="225"/>
      <c r="G600" s="225"/>
      <c r="H600" s="225"/>
      <c r="I600" s="225"/>
      <c r="J600" s="225"/>
      <c r="K600" s="225"/>
      <c r="L600" s="225"/>
      <c r="M600" s="225"/>
      <c r="N600" s="225"/>
      <c r="O600" s="225"/>
      <c r="P600" s="225"/>
      <c r="Q600" s="225"/>
      <c r="R600" s="225"/>
      <c r="S600" s="225"/>
      <c r="T600" s="225"/>
      <c r="U600" s="225"/>
      <c r="V600" s="225"/>
      <c r="W600" s="225"/>
      <c r="X600" s="225"/>
    </row>
    <row r="601" spans="1:24" ht="13.8" x14ac:dyDescent="0.3">
      <c r="A601" s="225"/>
      <c r="B601" s="225"/>
      <c r="C601" s="225"/>
      <c r="D601" s="225"/>
      <c r="E601" s="225"/>
      <c r="F601" s="225"/>
      <c r="G601" s="225"/>
      <c r="H601" s="225"/>
      <c r="I601" s="225"/>
      <c r="J601" s="225"/>
      <c r="K601" s="225"/>
      <c r="L601" s="225"/>
      <c r="M601" s="225"/>
      <c r="N601" s="225"/>
      <c r="O601" s="225"/>
      <c r="P601" s="225"/>
      <c r="Q601" s="225"/>
      <c r="R601" s="225"/>
      <c r="S601" s="225"/>
      <c r="T601" s="225"/>
      <c r="U601" s="225"/>
      <c r="V601" s="225"/>
      <c r="W601" s="225"/>
      <c r="X601" s="225"/>
    </row>
    <row r="602" spans="1:24" ht="13.8" x14ac:dyDescent="0.3">
      <c r="A602" s="225"/>
      <c r="B602" s="225"/>
      <c r="C602" s="225"/>
      <c r="D602" s="225"/>
      <c r="E602" s="225"/>
      <c r="F602" s="225"/>
      <c r="G602" s="225"/>
      <c r="H602" s="225"/>
      <c r="I602" s="225"/>
      <c r="J602" s="225"/>
      <c r="K602" s="225"/>
      <c r="L602" s="225"/>
      <c r="M602" s="225"/>
      <c r="N602" s="225"/>
      <c r="O602" s="225"/>
      <c r="P602" s="225"/>
      <c r="Q602" s="225"/>
      <c r="R602" s="225"/>
      <c r="S602" s="225"/>
      <c r="T602" s="225"/>
      <c r="U602" s="225"/>
      <c r="V602" s="225"/>
      <c r="W602" s="225"/>
      <c r="X602" s="225"/>
    </row>
    <row r="603" spans="1:24" ht="13.8" x14ac:dyDescent="0.3">
      <c r="A603" s="225"/>
      <c r="B603" s="225"/>
      <c r="C603" s="225"/>
      <c r="D603" s="225"/>
      <c r="E603" s="225"/>
      <c r="F603" s="225"/>
      <c r="G603" s="225"/>
      <c r="H603" s="225"/>
      <c r="I603" s="225"/>
      <c r="J603" s="225"/>
      <c r="K603" s="225"/>
      <c r="L603" s="225"/>
      <c r="M603" s="225"/>
      <c r="N603" s="225"/>
      <c r="O603" s="225"/>
      <c r="P603" s="225"/>
      <c r="Q603" s="225"/>
      <c r="R603" s="225"/>
      <c r="S603" s="225"/>
      <c r="T603" s="225"/>
      <c r="U603" s="225"/>
      <c r="V603" s="225"/>
      <c r="W603" s="225"/>
      <c r="X603" s="225"/>
    </row>
    <row r="604" spans="1:24" ht="13.8" x14ac:dyDescent="0.3">
      <c r="A604" s="225"/>
      <c r="B604" s="225"/>
      <c r="C604" s="225"/>
      <c r="D604" s="225"/>
      <c r="E604" s="225"/>
      <c r="F604" s="225"/>
      <c r="G604" s="225"/>
      <c r="H604" s="225"/>
      <c r="I604" s="225"/>
      <c r="J604" s="225"/>
      <c r="K604" s="225"/>
      <c r="L604" s="225"/>
      <c r="M604" s="225"/>
      <c r="N604" s="225"/>
      <c r="O604" s="225"/>
      <c r="P604" s="225"/>
      <c r="Q604" s="225"/>
      <c r="R604" s="225"/>
      <c r="S604" s="225"/>
      <c r="T604" s="225"/>
      <c r="U604" s="225"/>
      <c r="V604" s="225"/>
      <c r="W604" s="225"/>
      <c r="X604" s="225"/>
    </row>
    <row r="605" spans="1:24" ht="13.8" x14ac:dyDescent="0.3">
      <c r="A605" s="225"/>
      <c r="B605" s="225"/>
      <c r="C605" s="225"/>
      <c r="D605" s="225"/>
      <c r="E605" s="225"/>
      <c r="F605" s="225"/>
      <c r="G605" s="225"/>
      <c r="H605" s="225"/>
      <c r="I605" s="225"/>
      <c r="J605" s="225"/>
      <c r="K605" s="225"/>
      <c r="L605" s="225"/>
      <c r="M605" s="225"/>
      <c r="N605" s="225"/>
      <c r="O605" s="225"/>
      <c r="P605" s="225"/>
      <c r="Q605" s="225"/>
      <c r="R605" s="225"/>
      <c r="S605" s="225"/>
      <c r="T605" s="225"/>
      <c r="U605" s="225"/>
      <c r="V605" s="225"/>
      <c r="W605" s="225"/>
      <c r="X605" s="225"/>
    </row>
    <row r="606" spans="1:24" ht="13.8" x14ac:dyDescent="0.3">
      <c r="A606" s="225"/>
      <c r="B606" s="225"/>
      <c r="C606" s="225"/>
      <c r="D606" s="225"/>
      <c r="E606" s="225"/>
      <c r="F606" s="225"/>
      <c r="G606" s="225"/>
      <c r="H606" s="225"/>
      <c r="I606" s="225"/>
      <c r="J606" s="225"/>
      <c r="K606" s="225"/>
      <c r="L606" s="225"/>
      <c r="M606" s="225"/>
      <c r="N606" s="225"/>
      <c r="O606" s="225"/>
      <c r="P606" s="225"/>
      <c r="Q606" s="225"/>
      <c r="R606" s="225"/>
      <c r="S606" s="225"/>
      <c r="T606" s="225"/>
      <c r="U606" s="225"/>
      <c r="V606" s="225"/>
      <c r="W606" s="225"/>
      <c r="X606" s="225"/>
    </row>
    <row r="607" spans="1:24" ht="13.8" x14ac:dyDescent="0.3">
      <c r="A607" s="225"/>
      <c r="B607" s="225"/>
      <c r="C607" s="225"/>
      <c r="D607" s="225"/>
      <c r="E607" s="225"/>
      <c r="F607" s="225"/>
      <c r="G607" s="225"/>
      <c r="H607" s="225"/>
      <c r="I607" s="225"/>
      <c r="J607" s="225"/>
      <c r="K607" s="225"/>
      <c r="L607" s="225"/>
      <c r="M607" s="225"/>
      <c r="N607" s="225"/>
      <c r="O607" s="225"/>
      <c r="P607" s="225"/>
      <c r="Q607" s="225"/>
      <c r="R607" s="225"/>
      <c r="S607" s="225"/>
      <c r="T607" s="225"/>
      <c r="U607" s="225"/>
      <c r="V607" s="225"/>
      <c r="W607" s="225"/>
      <c r="X607" s="225"/>
    </row>
    <row r="608" spans="1:24" ht="13.8" x14ac:dyDescent="0.3">
      <c r="A608" s="225"/>
      <c r="B608" s="225"/>
      <c r="C608" s="225"/>
      <c r="D608" s="225"/>
      <c r="E608" s="225"/>
      <c r="F608" s="225"/>
      <c r="G608" s="225"/>
      <c r="H608" s="225"/>
      <c r="I608" s="225"/>
      <c r="J608" s="225"/>
      <c r="K608" s="225"/>
      <c r="L608" s="225"/>
      <c r="M608" s="225"/>
      <c r="N608" s="225"/>
      <c r="O608" s="225"/>
      <c r="P608" s="225"/>
      <c r="Q608" s="225"/>
      <c r="R608" s="225"/>
      <c r="S608" s="225"/>
      <c r="T608" s="225"/>
      <c r="U608" s="225"/>
      <c r="V608" s="225"/>
      <c r="W608" s="225"/>
      <c r="X608" s="225"/>
    </row>
    <row r="609" spans="1:24" ht="13.8" x14ac:dyDescent="0.3">
      <c r="A609" s="225"/>
      <c r="B609" s="225"/>
      <c r="C609" s="225"/>
      <c r="D609" s="225"/>
      <c r="E609" s="225"/>
      <c r="F609" s="225"/>
      <c r="G609" s="225"/>
      <c r="H609" s="225"/>
      <c r="I609" s="225"/>
      <c r="J609" s="225"/>
      <c r="K609" s="225"/>
      <c r="L609" s="225"/>
      <c r="M609" s="225"/>
      <c r="N609" s="225"/>
      <c r="O609" s="225"/>
      <c r="P609" s="225"/>
      <c r="Q609" s="225"/>
      <c r="R609" s="225"/>
      <c r="S609" s="225"/>
      <c r="T609" s="225"/>
      <c r="U609" s="225"/>
      <c r="V609" s="225"/>
      <c r="W609" s="225"/>
      <c r="X609" s="225"/>
    </row>
    <row r="610" spans="1:24" ht="13.8" x14ac:dyDescent="0.3">
      <c r="A610" s="225"/>
      <c r="B610" s="225"/>
      <c r="C610" s="225"/>
      <c r="D610" s="225"/>
      <c r="E610" s="225"/>
      <c r="F610" s="225"/>
      <c r="G610" s="225"/>
      <c r="H610" s="225"/>
      <c r="I610" s="225"/>
      <c r="J610" s="225"/>
      <c r="K610" s="225"/>
      <c r="L610" s="225"/>
      <c r="M610" s="225"/>
      <c r="N610" s="225"/>
      <c r="O610" s="225"/>
      <c r="P610" s="225"/>
      <c r="Q610" s="225"/>
      <c r="R610" s="225"/>
      <c r="S610" s="225"/>
      <c r="T610" s="225"/>
      <c r="U610" s="225"/>
      <c r="V610" s="225"/>
      <c r="W610" s="225"/>
      <c r="X610" s="225"/>
    </row>
    <row r="611" spans="1:24" ht="13.8" x14ac:dyDescent="0.3">
      <c r="A611" s="225"/>
      <c r="B611" s="225"/>
      <c r="C611" s="225"/>
      <c r="D611" s="225"/>
      <c r="E611" s="225"/>
      <c r="F611" s="225"/>
      <c r="G611" s="225"/>
      <c r="H611" s="225"/>
      <c r="I611" s="225"/>
      <c r="J611" s="225"/>
      <c r="K611" s="225"/>
      <c r="L611" s="225"/>
      <c r="M611" s="225"/>
      <c r="N611" s="225"/>
      <c r="O611" s="225"/>
      <c r="P611" s="225"/>
      <c r="Q611" s="225"/>
      <c r="R611" s="225"/>
      <c r="S611" s="225"/>
      <c r="T611" s="225"/>
      <c r="U611" s="225"/>
      <c r="V611" s="225"/>
      <c r="W611" s="225"/>
      <c r="X611" s="225"/>
    </row>
    <row r="612" spans="1:24" ht="13.8" x14ac:dyDescent="0.3">
      <c r="A612" s="225"/>
      <c r="B612" s="225"/>
      <c r="C612" s="225"/>
      <c r="D612" s="225"/>
      <c r="E612" s="225"/>
      <c r="F612" s="225"/>
      <c r="G612" s="225"/>
      <c r="H612" s="225"/>
      <c r="I612" s="225"/>
      <c r="J612" s="225"/>
      <c r="K612" s="225"/>
      <c r="L612" s="225"/>
      <c r="M612" s="225"/>
      <c r="N612" s="225"/>
      <c r="O612" s="225"/>
      <c r="P612" s="225"/>
      <c r="Q612" s="225"/>
      <c r="R612" s="225"/>
      <c r="S612" s="225"/>
      <c r="T612" s="225"/>
      <c r="U612" s="225"/>
      <c r="V612" s="225"/>
      <c r="W612" s="225"/>
      <c r="X612" s="225"/>
    </row>
    <row r="613" spans="1:24" ht="13.8" x14ac:dyDescent="0.3">
      <c r="A613" s="225"/>
      <c r="B613" s="225"/>
      <c r="C613" s="225"/>
      <c r="D613" s="225"/>
      <c r="E613" s="225"/>
      <c r="F613" s="225"/>
      <c r="G613" s="225"/>
      <c r="H613" s="225"/>
      <c r="I613" s="225"/>
      <c r="J613" s="225"/>
      <c r="K613" s="225"/>
      <c r="L613" s="225"/>
      <c r="M613" s="225"/>
      <c r="N613" s="225"/>
      <c r="O613" s="225"/>
      <c r="P613" s="225"/>
      <c r="Q613" s="225"/>
      <c r="R613" s="225"/>
      <c r="S613" s="225"/>
      <c r="T613" s="225"/>
      <c r="U613" s="225"/>
      <c r="V613" s="225"/>
      <c r="W613" s="225"/>
      <c r="X613" s="225"/>
    </row>
    <row r="614" spans="1:24" ht="13.8" x14ac:dyDescent="0.3">
      <c r="A614" s="225"/>
      <c r="B614" s="225"/>
      <c r="C614" s="225"/>
      <c r="D614" s="225"/>
      <c r="E614" s="225"/>
      <c r="F614" s="225"/>
      <c r="G614" s="225"/>
      <c r="H614" s="225"/>
      <c r="I614" s="225"/>
      <c r="J614" s="225"/>
      <c r="K614" s="225"/>
      <c r="L614" s="225"/>
      <c r="M614" s="225"/>
      <c r="N614" s="225"/>
      <c r="O614" s="225"/>
      <c r="P614" s="225"/>
      <c r="Q614" s="225"/>
      <c r="R614" s="225"/>
      <c r="S614" s="225"/>
      <c r="T614" s="225"/>
      <c r="U614" s="225"/>
      <c r="V614" s="225"/>
      <c r="W614" s="225"/>
      <c r="X614" s="225"/>
    </row>
    <row r="615" spans="1:24" ht="13.8" x14ac:dyDescent="0.3">
      <c r="A615" s="225"/>
      <c r="B615" s="225"/>
      <c r="C615" s="225"/>
      <c r="D615" s="225"/>
      <c r="E615" s="225"/>
      <c r="F615" s="225"/>
      <c r="G615" s="225"/>
      <c r="H615" s="225"/>
      <c r="I615" s="225"/>
      <c r="J615" s="225"/>
      <c r="K615" s="225"/>
      <c r="L615" s="225"/>
      <c r="M615" s="225"/>
      <c r="N615" s="225"/>
      <c r="O615" s="225"/>
      <c r="P615" s="225"/>
      <c r="Q615" s="225"/>
      <c r="R615" s="225"/>
      <c r="S615" s="225"/>
      <c r="T615" s="225"/>
      <c r="U615" s="225"/>
      <c r="V615" s="225"/>
      <c r="W615" s="225"/>
      <c r="X615" s="225"/>
    </row>
    <row r="616" spans="1:24" ht="13.8" x14ac:dyDescent="0.3">
      <c r="A616" s="225"/>
      <c r="B616" s="225"/>
      <c r="C616" s="225"/>
      <c r="D616" s="225"/>
      <c r="E616" s="225"/>
      <c r="F616" s="225"/>
      <c r="G616" s="225"/>
      <c r="H616" s="225"/>
      <c r="I616" s="225"/>
      <c r="J616" s="225"/>
      <c r="K616" s="225"/>
      <c r="L616" s="225"/>
      <c r="M616" s="225"/>
      <c r="N616" s="225"/>
      <c r="O616" s="225"/>
      <c r="P616" s="225"/>
      <c r="Q616" s="225"/>
      <c r="R616" s="225"/>
      <c r="S616" s="225"/>
      <c r="T616" s="225"/>
      <c r="U616" s="225"/>
      <c r="V616" s="225"/>
      <c r="W616" s="225"/>
      <c r="X616" s="225"/>
    </row>
    <row r="617" spans="1:24" ht="13.8" x14ac:dyDescent="0.3">
      <c r="A617" s="225"/>
      <c r="B617" s="225"/>
      <c r="C617" s="225"/>
      <c r="D617" s="225"/>
      <c r="E617" s="225"/>
      <c r="F617" s="225"/>
      <c r="G617" s="225"/>
      <c r="H617" s="225"/>
      <c r="I617" s="225"/>
      <c r="J617" s="225"/>
      <c r="K617" s="225"/>
      <c r="L617" s="225"/>
      <c r="M617" s="225"/>
      <c r="N617" s="225"/>
      <c r="O617" s="225"/>
      <c r="P617" s="225"/>
      <c r="Q617" s="225"/>
      <c r="R617" s="225"/>
      <c r="S617" s="225"/>
      <c r="T617" s="225"/>
      <c r="U617" s="225"/>
      <c r="V617" s="225"/>
      <c r="W617" s="225"/>
      <c r="X617" s="225"/>
    </row>
    <row r="618" spans="1:24" ht="13.8" x14ac:dyDescent="0.3">
      <c r="A618" s="225"/>
      <c r="B618" s="225"/>
      <c r="C618" s="225"/>
      <c r="D618" s="225"/>
      <c r="E618" s="225"/>
      <c r="F618" s="225"/>
      <c r="G618" s="225"/>
      <c r="H618" s="225"/>
      <c r="I618" s="225"/>
      <c r="J618" s="225"/>
      <c r="K618" s="225"/>
      <c r="L618" s="225"/>
      <c r="M618" s="225"/>
      <c r="N618" s="225"/>
      <c r="O618" s="225"/>
      <c r="P618" s="225"/>
      <c r="Q618" s="225"/>
      <c r="R618" s="225"/>
      <c r="S618" s="225"/>
      <c r="T618" s="225"/>
      <c r="U618" s="225"/>
      <c r="V618" s="225"/>
      <c r="W618" s="225"/>
      <c r="X618" s="225"/>
    </row>
    <row r="619" spans="1:24" ht="13.8" x14ac:dyDescent="0.3">
      <c r="A619" s="225"/>
      <c r="B619" s="225"/>
      <c r="C619" s="225"/>
      <c r="D619" s="225"/>
      <c r="E619" s="225"/>
      <c r="F619" s="225"/>
      <c r="G619" s="225"/>
      <c r="H619" s="225"/>
      <c r="I619" s="225"/>
      <c r="J619" s="225"/>
      <c r="K619" s="225"/>
      <c r="L619" s="225"/>
      <c r="M619" s="225"/>
      <c r="N619" s="225"/>
      <c r="O619" s="225"/>
      <c r="P619" s="225"/>
      <c r="Q619" s="225"/>
      <c r="R619" s="225"/>
      <c r="S619" s="225"/>
      <c r="T619" s="225"/>
      <c r="U619" s="225"/>
      <c r="V619" s="225"/>
      <c r="W619" s="225"/>
      <c r="X619" s="225"/>
    </row>
    <row r="620" spans="1:24" ht="13.8" x14ac:dyDescent="0.3">
      <c r="A620" s="225"/>
      <c r="B620" s="225"/>
      <c r="C620" s="225"/>
      <c r="D620" s="225"/>
      <c r="E620" s="225"/>
      <c r="F620" s="225"/>
      <c r="G620" s="225"/>
      <c r="H620" s="225"/>
      <c r="I620" s="225"/>
      <c r="J620" s="225"/>
      <c r="K620" s="225"/>
      <c r="L620" s="225"/>
      <c r="M620" s="225"/>
      <c r="N620" s="225"/>
      <c r="O620" s="225"/>
      <c r="P620" s="225"/>
      <c r="Q620" s="225"/>
      <c r="R620" s="225"/>
      <c r="S620" s="225"/>
      <c r="T620" s="225"/>
      <c r="U620" s="225"/>
      <c r="V620" s="225"/>
      <c r="W620" s="225"/>
      <c r="X620" s="225"/>
    </row>
    <row r="621" spans="1:24" ht="13.8" x14ac:dyDescent="0.3">
      <c r="A621" s="225"/>
      <c r="B621" s="225"/>
      <c r="C621" s="225"/>
      <c r="D621" s="225"/>
      <c r="E621" s="225"/>
      <c r="F621" s="225"/>
      <c r="G621" s="225"/>
      <c r="H621" s="225"/>
      <c r="I621" s="225"/>
      <c r="J621" s="225"/>
      <c r="K621" s="225"/>
      <c r="L621" s="225"/>
      <c r="M621" s="225"/>
      <c r="N621" s="225"/>
      <c r="O621" s="225"/>
      <c r="P621" s="225"/>
      <c r="Q621" s="225"/>
      <c r="R621" s="225"/>
      <c r="S621" s="225"/>
      <c r="T621" s="225"/>
      <c r="U621" s="225"/>
      <c r="V621" s="225"/>
      <c r="W621" s="225"/>
      <c r="X621" s="225"/>
    </row>
    <row r="622" spans="1:24" ht="13.8" x14ac:dyDescent="0.3">
      <c r="A622" s="225"/>
      <c r="B622" s="225"/>
      <c r="C622" s="225"/>
      <c r="D622" s="225"/>
      <c r="E622" s="225"/>
      <c r="F622" s="225"/>
      <c r="G622" s="225"/>
      <c r="H622" s="225"/>
      <c r="I622" s="225"/>
      <c r="J622" s="225"/>
      <c r="K622" s="225"/>
      <c r="L622" s="225"/>
      <c r="M622" s="225"/>
      <c r="N622" s="225"/>
      <c r="O622" s="225"/>
      <c r="P622" s="225"/>
      <c r="Q622" s="225"/>
      <c r="R622" s="225"/>
      <c r="S622" s="225"/>
      <c r="T622" s="225"/>
      <c r="U622" s="225"/>
      <c r="V622" s="225"/>
      <c r="W622" s="225"/>
      <c r="X622" s="225"/>
    </row>
    <row r="623" spans="1:24" ht="13.8" x14ac:dyDescent="0.3">
      <c r="A623" s="225"/>
      <c r="B623" s="225"/>
      <c r="C623" s="225"/>
      <c r="D623" s="225"/>
      <c r="E623" s="225"/>
      <c r="F623" s="225"/>
      <c r="G623" s="225"/>
      <c r="H623" s="225"/>
      <c r="I623" s="225"/>
      <c r="J623" s="225"/>
      <c r="K623" s="225"/>
      <c r="L623" s="225"/>
      <c r="M623" s="225"/>
      <c r="N623" s="225"/>
      <c r="O623" s="225"/>
      <c r="P623" s="225"/>
      <c r="Q623" s="225"/>
      <c r="R623" s="225"/>
      <c r="S623" s="225"/>
      <c r="T623" s="225"/>
      <c r="U623" s="225"/>
      <c r="V623" s="225"/>
      <c r="W623" s="225"/>
      <c r="X623" s="225"/>
    </row>
    <row r="624" spans="1:24" ht="13.8" x14ac:dyDescent="0.3">
      <c r="A624" s="225"/>
      <c r="B624" s="225"/>
      <c r="C624" s="225"/>
      <c r="D624" s="225"/>
      <c r="E624" s="225"/>
      <c r="F624" s="225"/>
      <c r="G624" s="225"/>
      <c r="H624" s="225"/>
      <c r="I624" s="225"/>
      <c r="J624" s="225"/>
      <c r="K624" s="225"/>
      <c r="L624" s="225"/>
      <c r="M624" s="225"/>
      <c r="N624" s="225"/>
      <c r="O624" s="225"/>
      <c r="P624" s="225"/>
      <c r="Q624" s="225"/>
      <c r="R624" s="225"/>
      <c r="S624" s="225"/>
      <c r="T624" s="225"/>
      <c r="U624" s="225"/>
      <c r="V624" s="225"/>
      <c r="W624" s="225"/>
      <c r="X624" s="225"/>
    </row>
    <row r="625" spans="1:24" ht="13.8" x14ac:dyDescent="0.3">
      <c r="A625" s="225"/>
      <c r="B625" s="225"/>
      <c r="C625" s="225"/>
      <c r="D625" s="225"/>
      <c r="E625" s="225"/>
      <c r="F625" s="225"/>
      <c r="G625" s="225"/>
      <c r="H625" s="225"/>
      <c r="I625" s="225"/>
      <c r="J625" s="225"/>
      <c r="K625" s="225"/>
      <c r="L625" s="225"/>
      <c r="M625" s="225"/>
      <c r="N625" s="225"/>
      <c r="O625" s="225"/>
      <c r="P625" s="225"/>
      <c r="Q625" s="225"/>
      <c r="R625" s="225"/>
      <c r="S625" s="225"/>
      <c r="T625" s="225"/>
      <c r="U625" s="225"/>
      <c r="V625" s="225"/>
      <c r="W625" s="225"/>
      <c r="X625" s="225"/>
    </row>
    <row r="626" spans="1:24" ht="13.8" x14ac:dyDescent="0.3">
      <c r="A626" s="225"/>
      <c r="B626" s="225"/>
      <c r="C626" s="225"/>
      <c r="D626" s="225"/>
      <c r="E626" s="225"/>
      <c r="F626" s="225"/>
      <c r="G626" s="225"/>
      <c r="H626" s="225"/>
      <c r="I626" s="225"/>
      <c r="J626" s="225"/>
      <c r="K626" s="225"/>
      <c r="L626" s="225"/>
      <c r="M626" s="225"/>
      <c r="N626" s="225"/>
      <c r="O626" s="225"/>
      <c r="P626" s="225"/>
      <c r="Q626" s="225"/>
      <c r="R626" s="225"/>
      <c r="S626" s="225"/>
      <c r="T626" s="225"/>
      <c r="U626" s="225"/>
      <c r="V626" s="225"/>
      <c r="W626" s="225"/>
      <c r="X626" s="225"/>
    </row>
    <row r="627" spans="1:24" ht="13.8" x14ac:dyDescent="0.3">
      <c r="A627" s="225"/>
      <c r="B627" s="225"/>
      <c r="C627" s="225"/>
      <c r="D627" s="225"/>
      <c r="E627" s="225"/>
      <c r="F627" s="225"/>
      <c r="G627" s="225"/>
      <c r="H627" s="225"/>
      <c r="I627" s="225"/>
      <c r="J627" s="225"/>
      <c r="K627" s="225"/>
      <c r="L627" s="225"/>
      <c r="M627" s="225"/>
      <c r="N627" s="225"/>
      <c r="O627" s="225"/>
      <c r="P627" s="225"/>
      <c r="Q627" s="225"/>
      <c r="R627" s="225"/>
      <c r="S627" s="225"/>
      <c r="T627" s="225"/>
      <c r="U627" s="225"/>
      <c r="V627" s="225"/>
      <c r="W627" s="225"/>
      <c r="X627" s="225"/>
    </row>
    <row r="628" spans="1:24" ht="13.8" x14ac:dyDescent="0.3">
      <c r="A628" s="225"/>
      <c r="B628" s="225"/>
      <c r="C628" s="225"/>
      <c r="D628" s="225"/>
      <c r="E628" s="225"/>
      <c r="F628" s="225"/>
      <c r="G628" s="225"/>
      <c r="H628" s="225"/>
      <c r="I628" s="225"/>
      <c r="J628" s="225"/>
      <c r="K628" s="225"/>
      <c r="L628" s="225"/>
      <c r="M628" s="225"/>
      <c r="N628" s="225"/>
      <c r="O628" s="225"/>
      <c r="P628" s="225"/>
      <c r="Q628" s="225"/>
      <c r="R628" s="225"/>
      <c r="S628" s="225"/>
      <c r="T628" s="225"/>
      <c r="U628" s="225"/>
      <c r="V628" s="225"/>
      <c r="W628" s="225"/>
      <c r="X628" s="225"/>
    </row>
    <row r="629" spans="1:24" ht="13.8" x14ac:dyDescent="0.3">
      <c r="A629" s="225"/>
      <c r="B629" s="225"/>
      <c r="C629" s="225"/>
      <c r="D629" s="225"/>
      <c r="E629" s="225"/>
      <c r="F629" s="225"/>
      <c r="G629" s="225"/>
      <c r="H629" s="225"/>
      <c r="I629" s="225"/>
      <c r="J629" s="225"/>
      <c r="K629" s="225"/>
      <c r="L629" s="225"/>
      <c r="M629" s="225"/>
      <c r="N629" s="225"/>
      <c r="O629" s="225"/>
      <c r="P629" s="225"/>
      <c r="Q629" s="225"/>
      <c r="R629" s="225"/>
      <c r="S629" s="225"/>
      <c r="T629" s="225"/>
      <c r="U629" s="225"/>
      <c r="V629" s="225"/>
      <c r="W629" s="225"/>
      <c r="X629" s="225"/>
    </row>
    <row r="630" spans="1:24" ht="13.8" x14ac:dyDescent="0.3">
      <c r="A630" s="225"/>
      <c r="B630" s="225"/>
      <c r="C630" s="225"/>
      <c r="D630" s="225"/>
      <c r="E630" s="225"/>
      <c r="F630" s="225"/>
      <c r="G630" s="225"/>
      <c r="H630" s="225"/>
      <c r="I630" s="225"/>
      <c r="J630" s="225"/>
      <c r="K630" s="225"/>
      <c r="L630" s="225"/>
      <c r="M630" s="225"/>
      <c r="N630" s="225"/>
      <c r="O630" s="225"/>
      <c r="P630" s="225"/>
      <c r="Q630" s="225"/>
      <c r="R630" s="225"/>
      <c r="S630" s="225"/>
      <c r="T630" s="225"/>
      <c r="U630" s="225"/>
      <c r="V630" s="225"/>
      <c r="W630" s="225"/>
      <c r="X630" s="225"/>
    </row>
    <row r="631" spans="1:24" ht="13.8" x14ac:dyDescent="0.3">
      <c r="A631" s="225"/>
      <c r="B631" s="225"/>
      <c r="C631" s="225"/>
      <c r="D631" s="225"/>
      <c r="E631" s="225"/>
      <c r="F631" s="225"/>
      <c r="G631" s="225"/>
      <c r="H631" s="225"/>
      <c r="I631" s="225"/>
      <c r="J631" s="225"/>
      <c r="K631" s="225"/>
      <c r="L631" s="225"/>
      <c r="M631" s="225"/>
      <c r="N631" s="225"/>
      <c r="O631" s="225"/>
      <c r="P631" s="225"/>
      <c r="Q631" s="225"/>
      <c r="R631" s="225"/>
      <c r="S631" s="225"/>
      <c r="T631" s="225"/>
      <c r="U631" s="225"/>
      <c r="V631" s="225"/>
      <c r="W631" s="225"/>
      <c r="X631" s="225"/>
    </row>
    <row r="632" spans="1:24" ht="13.8" x14ac:dyDescent="0.3">
      <c r="A632" s="225"/>
      <c r="B632" s="225"/>
      <c r="C632" s="225"/>
      <c r="D632" s="225"/>
      <c r="E632" s="225"/>
      <c r="F632" s="225"/>
      <c r="G632" s="225"/>
      <c r="H632" s="225"/>
      <c r="I632" s="225"/>
      <c r="J632" s="225"/>
      <c r="K632" s="225"/>
      <c r="L632" s="225"/>
      <c r="M632" s="225"/>
      <c r="N632" s="225"/>
      <c r="O632" s="225"/>
      <c r="P632" s="225"/>
      <c r="Q632" s="225"/>
      <c r="R632" s="225"/>
      <c r="S632" s="225"/>
      <c r="T632" s="225"/>
      <c r="U632" s="225"/>
      <c r="V632" s="225"/>
      <c r="W632" s="225"/>
      <c r="X632" s="225"/>
    </row>
    <row r="633" spans="1:24" ht="13.8" x14ac:dyDescent="0.3">
      <c r="A633" s="225"/>
      <c r="B633" s="225"/>
      <c r="C633" s="225"/>
      <c r="D633" s="225"/>
      <c r="E633" s="225"/>
      <c r="F633" s="225"/>
      <c r="G633" s="225"/>
      <c r="H633" s="225"/>
      <c r="I633" s="225"/>
      <c r="J633" s="225"/>
      <c r="K633" s="225"/>
      <c r="L633" s="225"/>
      <c r="M633" s="225"/>
      <c r="N633" s="225"/>
      <c r="O633" s="225"/>
      <c r="P633" s="225"/>
      <c r="Q633" s="225"/>
      <c r="R633" s="225"/>
      <c r="S633" s="225"/>
      <c r="T633" s="225"/>
      <c r="U633" s="225"/>
      <c r="V633" s="225"/>
      <c r="W633" s="225"/>
      <c r="X633" s="225"/>
    </row>
    <row r="634" spans="1:24" ht="13.8" x14ac:dyDescent="0.3">
      <c r="A634" s="225"/>
      <c r="B634" s="225"/>
      <c r="C634" s="225"/>
      <c r="D634" s="225"/>
      <c r="E634" s="225"/>
      <c r="F634" s="225"/>
      <c r="G634" s="225"/>
      <c r="H634" s="225"/>
      <c r="I634" s="225"/>
      <c r="J634" s="225"/>
      <c r="K634" s="225"/>
      <c r="L634" s="225"/>
      <c r="M634" s="225"/>
      <c r="N634" s="225"/>
      <c r="O634" s="225"/>
      <c r="P634" s="225"/>
      <c r="Q634" s="225"/>
      <c r="R634" s="225"/>
      <c r="S634" s="225"/>
      <c r="T634" s="225"/>
      <c r="U634" s="225"/>
      <c r="V634" s="225"/>
      <c r="W634" s="225"/>
      <c r="X634" s="225"/>
    </row>
    <row r="635" spans="1:24" ht="13.8" x14ac:dyDescent="0.3">
      <c r="A635" s="225"/>
      <c r="B635" s="225"/>
      <c r="C635" s="225"/>
      <c r="D635" s="225"/>
      <c r="E635" s="225"/>
      <c r="F635" s="225"/>
      <c r="G635" s="225"/>
      <c r="H635" s="225"/>
      <c r="I635" s="225"/>
      <c r="J635" s="225"/>
      <c r="K635" s="225"/>
      <c r="L635" s="225"/>
      <c r="M635" s="225"/>
      <c r="N635" s="225"/>
      <c r="O635" s="225"/>
      <c r="P635" s="225"/>
      <c r="Q635" s="225"/>
      <c r="R635" s="225"/>
      <c r="S635" s="225"/>
      <c r="T635" s="225"/>
      <c r="U635" s="225"/>
      <c r="V635" s="225"/>
      <c r="W635" s="225"/>
      <c r="X635" s="225"/>
    </row>
    <row r="636" spans="1:24" ht="13.8" x14ac:dyDescent="0.3">
      <c r="A636" s="225"/>
      <c r="B636" s="225"/>
      <c r="C636" s="225"/>
      <c r="D636" s="225"/>
      <c r="E636" s="225"/>
      <c r="F636" s="225"/>
      <c r="G636" s="225"/>
      <c r="H636" s="225"/>
      <c r="I636" s="225"/>
      <c r="J636" s="225"/>
      <c r="K636" s="225"/>
      <c r="L636" s="225"/>
      <c r="M636" s="225"/>
      <c r="N636" s="225"/>
      <c r="O636" s="225"/>
      <c r="P636" s="225"/>
      <c r="Q636" s="225"/>
      <c r="R636" s="225"/>
      <c r="S636" s="225"/>
      <c r="T636" s="225"/>
      <c r="U636" s="225"/>
      <c r="V636" s="225"/>
      <c r="W636" s="225"/>
      <c r="X636" s="225"/>
    </row>
    <row r="637" spans="1:24" ht="13.8" x14ac:dyDescent="0.3">
      <c r="A637" s="225"/>
      <c r="B637" s="225"/>
      <c r="C637" s="225"/>
      <c r="D637" s="225"/>
      <c r="E637" s="225"/>
      <c r="F637" s="225"/>
      <c r="G637" s="225"/>
      <c r="H637" s="225"/>
      <c r="I637" s="225"/>
      <c r="J637" s="225"/>
      <c r="K637" s="225"/>
      <c r="L637" s="225"/>
      <c r="M637" s="225"/>
      <c r="N637" s="225"/>
      <c r="O637" s="225"/>
      <c r="P637" s="225"/>
      <c r="Q637" s="225"/>
      <c r="R637" s="225"/>
      <c r="S637" s="225"/>
      <c r="T637" s="225"/>
      <c r="U637" s="225"/>
      <c r="V637" s="225"/>
      <c r="W637" s="225"/>
      <c r="X637" s="225"/>
    </row>
    <row r="638" spans="1:24" ht="13.8" x14ac:dyDescent="0.3">
      <c r="A638" s="225"/>
      <c r="B638" s="225"/>
      <c r="C638" s="225"/>
      <c r="D638" s="225"/>
      <c r="E638" s="225"/>
      <c r="F638" s="225"/>
      <c r="G638" s="225"/>
      <c r="H638" s="225"/>
      <c r="I638" s="225"/>
      <c r="J638" s="225"/>
      <c r="K638" s="225"/>
      <c r="L638" s="225"/>
      <c r="M638" s="225"/>
      <c r="N638" s="225"/>
      <c r="O638" s="225"/>
      <c r="P638" s="225"/>
      <c r="Q638" s="225"/>
      <c r="R638" s="225"/>
      <c r="S638" s="225"/>
      <c r="T638" s="225"/>
      <c r="U638" s="225"/>
      <c r="V638" s="225"/>
      <c r="W638" s="225"/>
      <c r="X638" s="225"/>
    </row>
    <row r="639" spans="1:24" ht="13.8" x14ac:dyDescent="0.3">
      <c r="A639" s="225"/>
      <c r="B639" s="225"/>
      <c r="C639" s="225"/>
      <c r="D639" s="225"/>
      <c r="E639" s="225"/>
      <c r="F639" s="225"/>
      <c r="G639" s="225"/>
      <c r="H639" s="225"/>
      <c r="I639" s="225"/>
      <c r="J639" s="225"/>
      <c r="K639" s="225"/>
      <c r="L639" s="225"/>
      <c r="M639" s="225"/>
      <c r="N639" s="225"/>
      <c r="O639" s="225"/>
      <c r="P639" s="225"/>
      <c r="Q639" s="225"/>
      <c r="R639" s="225"/>
      <c r="S639" s="225"/>
      <c r="T639" s="225"/>
      <c r="U639" s="225"/>
      <c r="V639" s="225"/>
      <c r="W639" s="225"/>
      <c r="X639" s="225"/>
    </row>
    <row r="640" spans="1:24" ht="13.8" x14ac:dyDescent="0.3">
      <c r="A640" s="225"/>
      <c r="B640" s="225"/>
      <c r="C640" s="225"/>
      <c r="D640" s="225"/>
      <c r="E640" s="225"/>
      <c r="F640" s="225"/>
      <c r="G640" s="225"/>
      <c r="H640" s="225"/>
      <c r="I640" s="225"/>
      <c r="J640" s="225"/>
      <c r="K640" s="225"/>
      <c r="L640" s="225"/>
      <c r="M640" s="225"/>
      <c r="N640" s="225"/>
      <c r="O640" s="225"/>
      <c r="P640" s="225"/>
      <c r="Q640" s="225"/>
      <c r="R640" s="225"/>
      <c r="S640" s="225"/>
      <c r="T640" s="225"/>
      <c r="U640" s="225"/>
      <c r="V640" s="225"/>
      <c r="W640" s="225"/>
      <c r="X640" s="225"/>
    </row>
    <row r="641" spans="1:24" ht="13.8" x14ac:dyDescent="0.3">
      <c r="A641" s="225"/>
      <c r="B641" s="225"/>
      <c r="C641" s="225"/>
      <c r="D641" s="225"/>
      <c r="E641" s="225"/>
      <c r="F641" s="225"/>
      <c r="G641" s="225"/>
      <c r="H641" s="225"/>
      <c r="I641" s="225"/>
      <c r="J641" s="225"/>
      <c r="K641" s="225"/>
      <c r="L641" s="225"/>
      <c r="M641" s="225"/>
      <c r="N641" s="225"/>
      <c r="O641" s="225"/>
      <c r="P641" s="225"/>
      <c r="Q641" s="225"/>
      <c r="R641" s="225"/>
      <c r="S641" s="225"/>
      <c r="T641" s="225"/>
      <c r="U641" s="225"/>
      <c r="V641" s="225"/>
      <c r="W641" s="225"/>
      <c r="X641" s="225"/>
    </row>
    <row r="642" spans="1:24" ht="13.8" x14ac:dyDescent="0.3">
      <c r="A642" s="225"/>
      <c r="B642" s="225"/>
      <c r="C642" s="225"/>
      <c r="D642" s="225"/>
      <c r="E642" s="225"/>
      <c r="F642" s="225"/>
      <c r="G642" s="225"/>
      <c r="H642" s="225"/>
      <c r="I642" s="225"/>
      <c r="J642" s="225"/>
      <c r="K642" s="225"/>
      <c r="L642" s="225"/>
      <c r="M642" s="225"/>
      <c r="N642" s="225"/>
      <c r="O642" s="225"/>
      <c r="P642" s="225"/>
      <c r="Q642" s="225"/>
      <c r="R642" s="225"/>
      <c r="S642" s="225"/>
      <c r="T642" s="225"/>
      <c r="U642" s="225"/>
      <c r="V642" s="225"/>
      <c r="W642" s="225"/>
      <c r="X642" s="225"/>
    </row>
    <row r="643" spans="1:24" ht="13.8" x14ac:dyDescent="0.3">
      <c r="A643" s="225"/>
      <c r="B643" s="225"/>
      <c r="C643" s="225"/>
      <c r="D643" s="225"/>
      <c r="E643" s="225"/>
      <c r="F643" s="225"/>
      <c r="G643" s="225"/>
      <c r="H643" s="225"/>
      <c r="I643" s="225"/>
      <c r="J643" s="225"/>
      <c r="K643" s="225"/>
      <c r="L643" s="225"/>
      <c r="M643" s="225"/>
      <c r="N643" s="225"/>
      <c r="O643" s="225"/>
      <c r="P643" s="225"/>
      <c r="Q643" s="225"/>
      <c r="R643" s="225"/>
      <c r="S643" s="225"/>
      <c r="T643" s="225"/>
      <c r="U643" s="225"/>
      <c r="V643" s="225"/>
      <c r="W643" s="225"/>
      <c r="X643" s="225"/>
    </row>
    <row r="644" spans="1:24" ht="13.8" x14ac:dyDescent="0.3">
      <c r="A644" s="225"/>
      <c r="B644" s="225"/>
      <c r="C644" s="225"/>
      <c r="D644" s="225"/>
      <c r="E644" s="225"/>
      <c r="F644" s="225"/>
      <c r="G644" s="225"/>
      <c r="H644" s="225"/>
      <c r="I644" s="225"/>
      <c r="J644" s="225"/>
      <c r="K644" s="225"/>
      <c r="L644" s="225"/>
      <c r="M644" s="225"/>
      <c r="N644" s="225"/>
      <c r="O644" s="225"/>
      <c r="P644" s="225"/>
      <c r="Q644" s="225"/>
      <c r="R644" s="225"/>
      <c r="S644" s="225"/>
      <c r="T644" s="225"/>
      <c r="U644" s="225"/>
      <c r="V644" s="225"/>
      <c r="W644" s="225"/>
      <c r="X644" s="225"/>
    </row>
    <row r="645" spans="1:24" ht="13.8" x14ac:dyDescent="0.3">
      <c r="A645" s="225"/>
      <c r="B645" s="225"/>
      <c r="C645" s="225"/>
      <c r="D645" s="225"/>
      <c r="E645" s="225"/>
      <c r="F645" s="225"/>
      <c r="G645" s="225"/>
      <c r="H645" s="225"/>
      <c r="I645" s="225"/>
      <c r="J645" s="225"/>
      <c r="K645" s="225"/>
      <c r="L645" s="225"/>
      <c r="M645" s="225"/>
      <c r="N645" s="225"/>
      <c r="O645" s="225"/>
      <c r="P645" s="225"/>
      <c r="Q645" s="225"/>
      <c r="R645" s="225"/>
      <c r="S645" s="225"/>
      <c r="T645" s="225"/>
      <c r="U645" s="225"/>
      <c r="V645" s="225"/>
      <c r="W645" s="225"/>
      <c r="X645" s="225"/>
    </row>
    <row r="646" spans="1:24" ht="13.8" x14ac:dyDescent="0.3">
      <c r="A646" s="225"/>
      <c r="B646" s="225"/>
      <c r="C646" s="225"/>
      <c r="D646" s="225"/>
      <c r="E646" s="225"/>
      <c r="F646" s="225"/>
      <c r="G646" s="225"/>
      <c r="H646" s="225"/>
      <c r="I646" s="225"/>
      <c r="J646" s="225"/>
      <c r="K646" s="225"/>
      <c r="L646" s="225"/>
      <c r="M646" s="225"/>
      <c r="N646" s="225"/>
      <c r="O646" s="225"/>
      <c r="P646" s="225"/>
      <c r="Q646" s="225"/>
      <c r="R646" s="225"/>
      <c r="S646" s="225"/>
      <c r="T646" s="225"/>
      <c r="U646" s="225"/>
      <c r="V646" s="225"/>
      <c r="W646" s="225"/>
      <c r="X646" s="225"/>
    </row>
    <row r="647" spans="1:24" ht="13.8" x14ac:dyDescent="0.3">
      <c r="A647" s="225"/>
      <c r="B647" s="225"/>
      <c r="C647" s="225"/>
      <c r="D647" s="225"/>
      <c r="E647" s="225"/>
      <c r="F647" s="225"/>
      <c r="G647" s="225"/>
      <c r="H647" s="225"/>
      <c r="I647" s="225"/>
      <c r="J647" s="225"/>
      <c r="K647" s="225"/>
      <c r="L647" s="225"/>
      <c r="M647" s="225"/>
      <c r="N647" s="225"/>
      <c r="O647" s="225"/>
      <c r="P647" s="225"/>
      <c r="Q647" s="225"/>
      <c r="R647" s="225"/>
      <c r="S647" s="225"/>
      <c r="T647" s="225"/>
      <c r="U647" s="225"/>
      <c r="V647" s="225"/>
      <c r="W647" s="225"/>
      <c r="X647" s="225"/>
    </row>
    <row r="648" spans="1:24" ht="13.8" x14ac:dyDescent="0.3">
      <c r="A648" s="225"/>
      <c r="B648" s="225"/>
      <c r="C648" s="225"/>
      <c r="D648" s="225"/>
      <c r="E648" s="225"/>
      <c r="F648" s="225"/>
      <c r="G648" s="225"/>
      <c r="H648" s="225"/>
      <c r="I648" s="225"/>
      <c r="J648" s="225"/>
      <c r="K648" s="225"/>
      <c r="L648" s="225"/>
      <c r="M648" s="225"/>
      <c r="N648" s="225"/>
      <c r="O648" s="225"/>
      <c r="P648" s="225"/>
      <c r="Q648" s="225"/>
      <c r="R648" s="225"/>
      <c r="S648" s="225"/>
      <c r="T648" s="225"/>
      <c r="U648" s="225"/>
      <c r="V648" s="225"/>
      <c r="W648" s="225"/>
      <c r="X648" s="225"/>
    </row>
    <row r="649" spans="1:24" ht="13.8" x14ac:dyDescent="0.3">
      <c r="A649" s="225"/>
      <c r="B649" s="225"/>
      <c r="C649" s="225"/>
      <c r="D649" s="225"/>
      <c r="E649" s="225"/>
      <c r="F649" s="225"/>
      <c r="G649" s="225"/>
      <c r="H649" s="225"/>
      <c r="I649" s="225"/>
      <c r="J649" s="225"/>
      <c r="K649" s="225"/>
      <c r="L649" s="225"/>
      <c r="M649" s="225"/>
      <c r="N649" s="225"/>
      <c r="O649" s="225"/>
      <c r="P649" s="225"/>
      <c r="Q649" s="225"/>
      <c r="R649" s="225"/>
      <c r="S649" s="225"/>
      <c r="T649" s="225"/>
      <c r="U649" s="225"/>
      <c r="V649" s="225"/>
      <c r="W649" s="225"/>
      <c r="X649" s="225"/>
    </row>
    <row r="650" spans="1:24" ht="13.8" x14ac:dyDescent="0.3">
      <c r="A650" s="225"/>
      <c r="B650" s="225"/>
      <c r="C650" s="225"/>
      <c r="D650" s="225"/>
      <c r="E650" s="225"/>
      <c r="F650" s="225"/>
      <c r="G650" s="225"/>
      <c r="H650" s="225"/>
      <c r="I650" s="225"/>
      <c r="J650" s="225"/>
      <c r="K650" s="225"/>
      <c r="L650" s="225"/>
      <c r="M650" s="225"/>
      <c r="N650" s="225"/>
      <c r="O650" s="225"/>
      <c r="P650" s="225"/>
      <c r="Q650" s="225"/>
      <c r="R650" s="225"/>
      <c r="S650" s="225"/>
      <c r="T650" s="225"/>
      <c r="U650" s="225"/>
      <c r="V650" s="225"/>
      <c r="W650" s="225"/>
      <c r="X650" s="225"/>
    </row>
    <row r="651" spans="1:24" ht="13.8" x14ac:dyDescent="0.3">
      <c r="A651" s="225"/>
      <c r="B651" s="225"/>
      <c r="C651" s="225"/>
      <c r="D651" s="225"/>
      <c r="E651" s="225"/>
      <c r="F651" s="225"/>
      <c r="G651" s="225"/>
      <c r="H651" s="225"/>
      <c r="I651" s="225"/>
      <c r="J651" s="225"/>
      <c r="K651" s="225"/>
      <c r="L651" s="225"/>
      <c r="M651" s="225"/>
      <c r="N651" s="225"/>
      <c r="O651" s="225"/>
      <c r="P651" s="225"/>
      <c r="Q651" s="225"/>
      <c r="R651" s="225"/>
      <c r="S651" s="225"/>
      <c r="T651" s="225"/>
      <c r="U651" s="225"/>
      <c r="V651" s="225"/>
      <c r="W651" s="225"/>
      <c r="X651" s="225"/>
    </row>
    <row r="652" spans="1:24" ht="13.8" x14ac:dyDescent="0.3">
      <c r="A652" s="225"/>
      <c r="B652" s="225"/>
      <c r="C652" s="225"/>
      <c r="D652" s="225"/>
      <c r="E652" s="225"/>
      <c r="F652" s="225"/>
      <c r="G652" s="225"/>
      <c r="H652" s="225"/>
      <c r="I652" s="225"/>
      <c r="J652" s="225"/>
      <c r="K652" s="225"/>
      <c r="L652" s="225"/>
      <c r="M652" s="225"/>
      <c r="N652" s="225"/>
      <c r="O652" s="225"/>
      <c r="P652" s="225"/>
      <c r="Q652" s="225"/>
      <c r="R652" s="225"/>
      <c r="S652" s="225"/>
      <c r="T652" s="225"/>
      <c r="U652" s="225"/>
      <c r="V652" s="225"/>
      <c r="W652" s="225"/>
      <c r="X652" s="225"/>
    </row>
    <row r="653" spans="1:24" ht="13.8" x14ac:dyDescent="0.3">
      <c r="A653" s="225"/>
      <c r="B653" s="225"/>
      <c r="C653" s="225"/>
      <c r="D653" s="225"/>
      <c r="E653" s="225"/>
      <c r="F653" s="225"/>
      <c r="G653" s="225"/>
      <c r="H653" s="225"/>
      <c r="I653" s="225"/>
      <c r="J653" s="225"/>
      <c r="K653" s="225"/>
      <c r="L653" s="225"/>
      <c r="M653" s="225"/>
      <c r="N653" s="225"/>
      <c r="O653" s="225"/>
      <c r="P653" s="225"/>
      <c r="Q653" s="225"/>
      <c r="R653" s="225"/>
      <c r="S653" s="225"/>
      <c r="T653" s="225"/>
      <c r="U653" s="225"/>
      <c r="V653" s="225"/>
      <c r="W653" s="225"/>
      <c r="X653" s="225"/>
    </row>
    <row r="654" spans="1:24" ht="13.8" x14ac:dyDescent="0.3">
      <c r="A654" s="225"/>
      <c r="B654" s="225"/>
      <c r="C654" s="225"/>
      <c r="D654" s="225"/>
      <c r="E654" s="225"/>
      <c r="F654" s="225"/>
      <c r="G654" s="225"/>
      <c r="H654" s="225"/>
      <c r="I654" s="225"/>
      <c r="J654" s="225"/>
      <c r="K654" s="225"/>
      <c r="L654" s="225"/>
      <c r="M654" s="225"/>
      <c r="N654" s="225"/>
      <c r="O654" s="225"/>
      <c r="P654" s="225"/>
      <c r="Q654" s="225"/>
      <c r="R654" s="225"/>
      <c r="S654" s="225"/>
      <c r="T654" s="225"/>
      <c r="U654" s="225"/>
      <c r="V654" s="225"/>
      <c r="W654" s="225"/>
      <c r="X654" s="225"/>
    </row>
    <row r="655" spans="1:24" ht="13.8" x14ac:dyDescent="0.3">
      <c r="A655" s="225"/>
      <c r="B655" s="225"/>
      <c r="C655" s="225"/>
      <c r="D655" s="225"/>
      <c r="E655" s="225"/>
      <c r="F655" s="225"/>
      <c r="G655" s="225"/>
      <c r="H655" s="225"/>
      <c r="I655" s="225"/>
      <c r="J655" s="225"/>
      <c r="K655" s="225"/>
      <c r="L655" s="225"/>
      <c r="M655" s="225"/>
      <c r="N655" s="225"/>
      <c r="O655" s="225"/>
      <c r="P655" s="225"/>
      <c r="Q655" s="225"/>
      <c r="R655" s="225"/>
      <c r="S655" s="225"/>
      <c r="T655" s="225"/>
      <c r="U655" s="225"/>
      <c r="V655" s="225"/>
      <c r="W655" s="225"/>
      <c r="X655" s="225"/>
    </row>
    <row r="656" spans="1:24" ht="13.8" x14ac:dyDescent="0.3">
      <c r="A656" s="225"/>
      <c r="B656" s="225"/>
      <c r="C656" s="225"/>
      <c r="D656" s="225"/>
      <c r="E656" s="225"/>
      <c r="F656" s="225"/>
      <c r="G656" s="225"/>
      <c r="H656" s="225"/>
      <c r="I656" s="225"/>
      <c r="J656" s="225"/>
      <c r="K656" s="225"/>
      <c r="L656" s="225"/>
      <c r="M656" s="225"/>
      <c r="N656" s="225"/>
      <c r="O656" s="225"/>
      <c r="P656" s="225"/>
      <c r="Q656" s="225"/>
      <c r="R656" s="225"/>
      <c r="S656" s="225"/>
      <c r="T656" s="225"/>
      <c r="U656" s="225"/>
      <c r="V656" s="225"/>
      <c r="W656" s="225"/>
      <c r="X656" s="225"/>
    </row>
    <row r="657" spans="1:24" ht="13.8" x14ac:dyDescent="0.3">
      <c r="A657" s="225"/>
      <c r="B657" s="225"/>
      <c r="C657" s="225"/>
      <c r="D657" s="225"/>
      <c r="E657" s="225"/>
      <c r="F657" s="225"/>
      <c r="G657" s="225"/>
      <c r="H657" s="225"/>
      <c r="I657" s="225"/>
      <c r="J657" s="225"/>
      <c r="K657" s="225"/>
      <c r="L657" s="225"/>
      <c r="M657" s="225"/>
      <c r="N657" s="225"/>
      <c r="O657" s="225"/>
      <c r="P657" s="225"/>
      <c r="Q657" s="225"/>
      <c r="R657" s="225"/>
      <c r="S657" s="225"/>
      <c r="T657" s="225"/>
      <c r="U657" s="225"/>
      <c r="V657" s="225"/>
      <c r="W657" s="225"/>
      <c r="X657" s="225"/>
    </row>
    <row r="658" spans="1:24" ht="13.8" x14ac:dyDescent="0.3">
      <c r="A658" s="225"/>
      <c r="B658" s="225"/>
      <c r="C658" s="225"/>
      <c r="D658" s="225"/>
      <c r="E658" s="225"/>
      <c r="F658" s="225"/>
      <c r="G658" s="225"/>
      <c r="H658" s="225"/>
      <c r="I658" s="225"/>
      <c r="J658" s="225"/>
      <c r="K658" s="225"/>
      <c r="L658" s="225"/>
      <c r="M658" s="225"/>
      <c r="N658" s="225"/>
      <c r="O658" s="225"/>
      <c r="P658" s="225"/>
      <c r="Q658" s="225"/>
      <c r="R658" s="225"/>
      <c r="S658" s="225"/>
      <c r="T658" s="225"/>
      <c r="U658" s="225"/>
      <c r="V658" s="225"/>
      <c r="W658" s="225"/>
      <c r="X658" s="225"/>
    </row>
    <row r="659" spans="1:24" ht="13.8" x14ac:dyDescent="0.3">
      <c r="A659" s="225"/>
      <c r="B659" s="225"/>
      <c r="C659" s="225"/>
      <c r="D659" s="225"/>
      <c r="E659" s="225"/>
      <c r="F659" s="225"/>
      <c r="G659" s="225"/>
      <c r="H659" s="225"/>
      <c r="I659" s="225"/>
      <c r="J659" s="225"/>
      <c r="K659" s="225"/>
      <c r="L659" s="225"/>
      <c r="M659" s="225"/>
      <c r="N659" s="225"/>
      <c r="O659" s="225"/>
      <c r="P659" s="225"/>
      <c r="Q659" s="225"/>
      <c r="R659" s="225"/>
      <c r="S659" s="225"/>
      <c r="T659" s="225"/>
      <c r="U659" s="225"/>
      <c r="V659" s="225"/>
      <c r="W659" s="225"/>
      <c r="X659" s="225"/>
    </row>
    <row r="660" spans="1:24" ht="13.8" x14ac:dyDescent="0.3">
      <c r="A660" s="225"/>
      <c r="B660" s="225"/>
      <c r="C660" s="225"/>
      <c r="D660" s="225"/>
      <c r="E660" s="225"/>
      <c r="F660" s="225"/>
      <c r="G660" s="225"/>
      <c r="H660" s="225"/>
      <c r="I660" s="225"/>
      <c r="J660" s="225"/>
      <c r="K660" s="225"/>
      <c r="L660" s="225"/>
      <c r="M660" s="225"/>
      <c r="N660" s="225"/>
      <c r="O660" s="225"/>
      <c r="P660" s="225"/>
      <c r="Q660" s="225"/>
      <c r="R660" s="225"/>
      <c r="S660" s="225"/>
      <c r="T660" s="225"/>
      <c r="U660" s="225"/>
      <c r="V660" s="225"/>
      <c r="W660" s="225"/>
      <c r="X660" s="225"/>
    </row>
    <row r="661" spans="1:24" ht="13.8" x14ac:dyDescent="0.3">
      <c r="A661" s="225"/>
      <c r="B661" s="225"/>
      <c r="C661" s="225"/>
      <c r="D661" s="225"/>
      <c r="E661" s="225"/>
      <c r="F661" s="225"/>
      <c r="G661" s="225"/>
      <c r="H661" s="225"/>
      <c r="I661" s="225"/>
      <c r="J661" s="225"/>
      <c r="K661" s="225"/>
      <c r="L661" s="225"/>
      <c r="M661" s="225"/>
      <c r="N661" s="225"/>
      <c r="O661" s="225"/>
      <c r="P661" s="225"/>
      <c r="Q661" s="225"/>
      <c r="R661" s="225"/>
      <c r="S661" s="225"/>
      <c r="T661" s="225"/>
      <c r="U661" s="225"/>
      <c r="V661" s="225"/>
      <c r="W661" s="225"/>
      <c r="X661" s="225"/>
    </row>
    <row r="662" spans="1:24" ht="13.8" x14ac:dyDescent="0.3">
      <c r="A662" s="225"/>
      <c r="B662" s="225"/>
      <c r="C662" s="225"/>
      <c r="D662" s="225"/>
      <c r="E662" s="225"/>
      <c r="F662" s="225"/>
      <c r="G662" s="225"/>
      <c r="H662" s="225"/>
      <c r="I662" s="225"/>
      <c r="J662" s="225"/>
      <c r="K662" s="225"/>
      <c r="L662" s="225"/>
      <c r="M662" s="225"/>
      <c r="N662" s="225"/>
      <c r="O662" s="225"/>
      <c r="P662" s="225"/>
      <c r="Q662" s="225"/>
      <c r="R662" s="225"/>
      <c r="S662" s="225"/>
      <c r="T662" s="225"/>
      <c r="U662" s="225"/>
      <c r="V662" s="225"/>
      <c r="W662" s="225"/>
      <c r="X662" s="225"/>
    </row>
    <row r="663" spans="1:24" ht="13.8" x14ac:dyDescent="0.3">
      <c r="A663" s="225"/>
      <c r="B663" s="225"/>
      <c r="C663" s="225"/>
      <c r="D663" s="225"/>
      <c r="E663" s="225"/>
      <c r="F663" s="225"/>
      <c r="G663" s="225"/>
      <c r="H663" s="225"/>
      <c r="I663" s="225"/>
      <c r="J663" s="225"/>
      <c r="K663" s="225"/>
      <c r="L663" s="225"/>
      <c r="M663" s="225"/>
      <c r="N663" s="225"/>
      <c r="O663" s="225"/>
      <c r="P663" s="225"/>
      <c r="Q663" s="225"/>
      <c r="R663" s="225"/>
      <c r="S663" s="225"/>
      <c r="T663" s="225"/>
      <c r="U663" s="225"/>
      <c r="V663" s="225"/>
      <c r="W663" s="225"/>
      <c r="X663" s="225"/>
    </row>
    <row r="664" spans="1:24" ht="13.8" x14ac:dyDescent="0.3">
      <c r="A664" s="225"/>
      <c r="B664" s="225"/>
      <c r="C664" s="225"/>
      <c r="D664" s="225"/>
      <c r="E664" s="225"/>
      <c r="F664" s="225"/>
      <c r="G664" s="225"/>
      <c r="H664" s="225"/>
      <c r="I664" s="225"/>
      <c r="J664" s="225"/>
      <c r="K664" s="225"/>
      <c r="L664" s="225"/>
      <c r="M664" s="225"/>
      <c r="N664" s="225"/>
      <c r="O664" s="225"/>
      <c r="P664" s="225"/>
      <c r="Q664" s="225"/>
      <c r="R664" s="225"/>
      <c r="S664" s="225"/>
      <c r="T664" s="225"/>
      <c r="U664" s="225"/>
      <c r="V664" s="225"/>
      <c r="W664" s="225"/>
      <c r="X664" s="225"/>
    </row>
    <row r="665" spans="1:24" ht="13.8" x14ac:dyDescent="0.3">
      <c r="A665" s="225"/>
      <c r="B665" s="225"/>
      <c r="C665" s="225"/>
      <c r="D665" s="225"/>
      <c r="E665" s="225"/>
      <c r="F665" s="225"/>
      <c r="G665" s="225"/>
      <c r="H665" s="225"/>
      <c r="I665" s="225"/>
      <c r="J665" s="225"/>
      <c r="K665" s="225"/>
      <c r="L665" s="225"/>
      <c r="M665" s="225"/>
      <c r="N665" s="225"/>
      <c r="O665" s="225"/>
      <c r="P665" s="225"/>
      <c r="Q665" s="225"/>
      <c r="R665" s="225"/>
      <c r="S665" s="225"/>
      <c r="T665" s="225"/>
      <c r="U665" s="225"/>
      <c r="V665" s="225"/>
      <c r="W665" s="225"/>
      <c r="X665" s="225"/>
    </row>
    <row r="666" spans="1:24" ht="13.8" x14ac:dyDescent="0.3">
      <c r="A666" s="225"/>
      <c r="B666" s="225"/>
      <c r="C666" s="225"/>
      <c r="D666" s="225"/>
      <c r="E666" s="225"/>
      <c r="F666" s="225"/>
      <c r="G666" s="225"/>
      <c r="H666" s="225"/>
      <c r="I666" s="225"/>
      <c r="J666" s="225"/>
      <c r="K666" s="225"/>
      <c r="L666" s="225"/>
      <c r="M666" s="225"/>
      <c r="N666" s="225"/>
      <c r="O666" s="225"/>
      <c r="P666" s="225"/>
      <c r="Q666" s="225"/>
      <c r="R666" s="225"/>
      <c r="S666" s="225"/>
      <c r="T666" s="225"/>
      <c r="U666" s="225"/>
      <c r="V666" s="225"/>
      <c r="W666" s="225"/>
      <c r="X666" s="225"/>
    </row>
    <row r="667" spans="1:24" ht="13.8" x14ac:dyDescent="0.3">
      <c r="A667" s="225"/>
      <c r="B667" s="225"/>
      <c r="C667" s="225"/>
      <c r="D667" s="225"/>
      <c r="E667" s="225"/>
      <c r="F667" s="225"/>
      <c r="G667" s="225"/>
      <c r="H667" s="225"/>
      <c r="I667" s="225"/>
      <c r="J667" s="225"/>
      <c r="K667" s="225"/>
      <c r="L667" s="225"/>
      <c r="M667" s="225"/>
      <c r="N667" s="225"/>
      <c r="O667" s="225"/>
      <c r="P667" s="225"/>
      <c r="Q667" s="225"/>
      <c r="R667" s="225"/>
      <c r="S667" s="225"/>
      <c r="T667" s="225"/>
      <c r="U667" s="225"/>
      <c r="V667" s="225"/>
      <c r="W667" s="225"/>
      <c r="X667" s="225"/>
    </row>
    <row r="668" spans="1:24" ht="13.8" x14ac:dyDescent="0.3">
      <c r="A668" s="225"/>
      <c r="B668" s="225"/>
      <c r="C668" s="225"/>
      <c r="D668" s="225"/>
      <c r="E668" s="225"/>
      <c r="F668" s="225"/>
      <c r="G668" s="225"/>
      <c r="H668" s="225"/>
      <c r="I668" s="225"/>
      <c r="J668" s="225"/>
      <c r="K668" s="225"/>
      <c r="L668" s="225"/>
      <c r="M668" s="225"/>
      <c r="N668" s="225"/>
      <c r="O668" s="225"/>
      <c r="P668" s="225"/>
      <c r="Q668" s="225"/>
      <c r="R668" s="225"/>
      <c r="S668" s="225"/>
      <c r="T668" s="225"/>
      <c r="U668" s="225"/>
      <c r="V668" s="225"/>
      <c r="W668" s="225"/>
      <c r="X668" s="225"/>
    </row>
    <row r="669" spans="1:24" ht="13.8" x14ac:dyDescent="0.3">
      <c r="A669" s="225"/>
      <c r="B669" s="225"/>
      <c r="C669" s="225"/>
      <c r="D669" s="225"/>
      <c r="E669" s="225"/>
      <c r="F669" s="225"/>
      <c r="G669" s="225"/>
      <c r="H669" s="225"/>
      <c r="I669" s="225"/>
      <c r="J669" s="225"/>
      <c r="K669" s="225"/>
      <c r="L669" s="225"/>
      <c r="M669" s="225"/>
      <c r="N669" s="225"/>
      <c r="O669" s="225"/>
      <c r="P669" s="225"/>
      <c r="Q669" s="225"/>
      <c r="R669" s="225"/>
      <c r="S669" s="225"/>
      <c r="T669" s="225"/>
      <c r="U669" s="225"/>
      <c r="V669" s="225"/>
      <c r="W669" s="225"/>
      <c r="X669" s="225"/>
    </row>
    <row r="670" spans="1:24" ht="13.8" x14ac:dyDescent="0.3">
      <c r="A670" s="225"/>
      <c r="B670" s="225"/>
      <c r="C670" s="225"/>
      <c r="D670" s="225"/>
      <c r="E670" s="225"/>
      <c r="F670" s="225"/>
      <c r="G670" s="225"/>
      <c r="H670" s="225"/>
      <c r="I670" s="225"/>
      <c r="J670" s="225"/>
      <c r="K670" s="225"/>
      <c r="L670" s="225"/>
      <c r="M670" s="225"/>
      <c r="N670" s="225"/>
      <c r="O670" s="225"/>
      <c r="P670" s="225"/>
      <c r="Q670" s="225"/>
      <c r="R670" s="225"/>
      <c r="S670" s="225"/>
      <c r="T670" s="225"/>
      <c r="U670" s="225"/>
      <c r="V670" s="225"/>
      <c r="W670" s="225"/>
      <c r="X670" s="225"/>
    </row>
    <row r="671" spans="1:24" ht="13.8" x14ac:dyDescent="0.3">
      <c r="A671" s="225"/>
      <c r="B671" s="225"/>
      <c r="C671" s="225"/>
      <c r="D671" s="225"/>
      <c r="E671" s="225"/>
      <c r="F671" s="225"/>
      <c r="G671" s="225"/>
      <c r="H671" s="225"/>
      <c r="I671" s="225"/>
      <c r="J671" s="225"/>
      <c r="K671" s="225"/>
      <c r="L671" s="225"/>
      <c r="M671" s="225"/>
      <c r="N671" s="225"/>
      <c r="O671" s="225"/>
      <c r="P671" s="225"/>
      <c r="Q671" s="225"/>
      <c r="R671" s="225"/>
      <c r="S671" s="225"/>
      <c r="T671" s="225"/>
      <c r="U671" s="225"/>
      <c r="V671" s="225"/>
      <c r="W671" s="225"/>
      <c r="X671" s="225"/>
    </row>
    <row r="672" spans="1:24" ht="13.8" x14ac:dyDescent="0.3">
      <c r="A672" s="225"/>
      <c r="B672" s="225"/>
      <c r="C672" s="225"/>
      <c r="D672" s="225"/>
      <c r="E672" s="225"/>
      <c r="F672" s="225"/>
      <c r="G672" s="225"/>
      <c r="H672" s="225"/>
      <c r="I672" s="225"/>
      <c r="J672" s="225"/>
      <c r="K672" s="225"/>
      <c r="L672" s="225"/>
      <c r="M672" s="225"/>
      <c r="N672" s="225"/>
      <c r="O672" s="225"/>
      <c r="P672" s="225"/>
      <c r="Q672" s="225"/>
      <c r="R672" s="225"/>
      <c r="S672" s="225"/>
      <c r="T672" s="225"/>
      <c r="U672" s="225"/>
      <c r="V672" s="225"/>
      <c r="W672" s="225"/>
      <c r="X672" s="225"/>
    </row>
    <row r="673" spans="1:24" ht="13.8" x14ac:dyDescent="0.3">
      <c r="A673" s="225"/>
      <c r="B673" s="225"/>
      <c r="C673" s="225"/>
      <c r="D673" s="225"/>
      <c r="E673" s="225"/>
      <c r="F673" s="225"/>
      <c r="G673" s="225"/>
      <c r="H673" s="225"/>
      <c r="I673" s="225"/>
      <c r="J673" s="225"/>
      <c r="K673" s="225"/>
      <c r="L673" s="225"/>
      <c r="M673" s="225"/>
      <c r="N673" s="225"/>
      <c r="O673" s="225"/>
      <c r="P673" s="225"/>
      <c r="Q673" s="225"/>
      <c r="R673" s="225"/>
      <c r="S673" s="225"/>
      <c r="T673" s="225"/>
      <c r="U673" s="225"/>
      <c r="V673" s="225"/>
      <c r="W673" s="225"/>
      <c r="X673" s="225"/>
    </row>
    <row r="674" spans="1:24" ht="13.8" x14ac:dyDescent="0.3">
      <c r="A674" s="225"/>
      <c r="B674" s="225"/>
      <c r="C674" s="225"/>
      <c r="D674" s="225"/>
      <c r="E674" s="225"/>
      <c r="F674" s="225"/>
      <c r="G674" s="225"/>
      <c r="H674" s="225"/>
      <c r="I674" s="225"/>
      <c r="J674" s="225"/>
      <c r="K674" s="225"/>
      <c r="L674" s="225"/>
      <c r="M674" s="225"/>
      <c r="N674" s="225"/>
      <c r="O674" s="225"/>
      <c r="P674" s="225"/>
      <c r="Q674" s="225"/>
      <c r="R674" s="225"/>
      <c r="S674" s="225"/>
      <c r="T674" s="225"/>
      <c r="U674" s="225"/>
      <c r="V674" s="225"/>
      <c r="W674" s="225"/>
      <c r="X674" s="225"/>
    </row>
    <row r="675" spans="1:24" ht="13.8" x14ac:dyDescent="0.3">
      <c r="A675" s="225"/>
      <c r="B675" s="225"/>
      <c r="C675" s="225"/>
      <c r="D675" s="225"/>
      <c r="E675" s="225"/>
      <c r="F675" s="225"/>
      <c r="G675" s="225"/>
      <c r="H675" s="225"/>
      <c r="I675" s="225"/>
      <c r="J675" s="225"/>
      <c r="K675" s="225"/>
      <c r="L675" s="225"/>
      <c r="M675" s="225"/>
      <c r="N675" s="225"/>
      <c r="O675" s="225"/>
      <c r="P675" s="225"/>
      <c r="Q675" s="225"/>
      <c r="R675" s="225"/>
      <c r="S675" s="225"/>
      <c r="T675" s="225"/>
      <c r="U675" s="225"/>
      <c r="V675" s="225"/>
      <c r="W675" s="225"/>
      <c r="X675" s="225"/>
    </row>
    <row r="676" spans="1:24" ht="13.8" x14ac:dyDescent="0.3">
      <c r="A676" s="225"/>
      <c r="B676" s="225"/>
      <c r="C676" s="225"/>
      <c r="D676" s="225"/>
      <c r="E676" s="225"/>
      <c r="F676" s="225"/>
      <c r="G676" s="225"/>
      <c r="H676" s="225"/>
      <c r="I676" s="225"/>
      <c r="J676" s="225"/>
      <c r="K676" s="225"/>
      <c r="L676" s="225"/>
      <c r="M676" s="225"/>
      <c r="N676" s="225"/>
      <c r="O676" s="225"/>
      <c r="P676" s="225"/>
      <c r="Q676" s="225"/>
      <c r="R676" s="225"/>
      <c r="S676" s="225"/>
      <c r="T676" s="225"/>
      <c r="U676" s="225"/>
      <c r="V676" s="225"/>
      <c r="W676" s="225"/>
      <c r="X676" s="225"/>
    </row>
    <row r="677" spans="1:24" ht="13.8" x14ac:dyDescent="0.3">
      <c r="A677" s="225"/>
      <c r="B677" s="225"/>
      <c r="C677" s="225"/>
      <c r="D677" s="225"/>
      <c r="E677" s="225"/>
      <c r="F677" s="225"/>
      <c r="G677" s="225"/>
      <c r="H677" s="225"/>
      <c r="I677" s="225"/>
      <c r="J677" s="225"/>
      <c r="K677" s="225"/>
      <c r="L677" s="225"/>
      <c r="M677" s="225"/>
      <c r="N677" s="225"/>
      <c r="O677" s="225"/>
      <c r="P677" s="225"/>
      <c r="Q677" s="225"/>
      <c r="R677" s="225"/>
      <c r="S677" s="225"/>
      <c r="T677" s="225"/>
      <c r="U677" s="225"/>
      <c r="V677" s="225"/>
      <c r="W677" s="225"/>
      <c r="X677" s="225"/>
    </row>
    <row r="678" spans="1:24" ht="13.8" x14ac:dyDescent="0.3">
      <c r="A678" s="225"/>
      <c r="B678" s="225"/>
      <c r="C678" s="225"/>
      <c r="D678" s="225"/>
      <c r="E678" s="225"/>
      <c r="F678" s="225"/>
      <c r="G678" s="225"/>
      <c r="H678" s="225"/>
      <c r="I678" s="225"/>
      <c r="J678" s="225"/>
      <c r="K678" s="225"/>
      <c r="L678" s="225"/>
      <c r="M678" s="225"/>
      <c r="N678" s="225"/>
      <c r="O678" s="225"/>
      <c r="P678" s="225"/>
      <c r="Q678" s="225"/>
      <c r="R678" s="225"/>
      <c r="S678" s="225"/>
      <c r="T678" s="225"/>
      <c r="U678" s="225"/>
      <c r="V678" s="225"/>
      <c r="W678" s="225"/>
      <c r="X678" s="225"/>
    </row>
    <row r="679" spans="1:24" ht="13.8" x14ac:dyDescent="0.3">
      <c r="A679" s="225"/>
      <c r="B679" s="225"/>
      <c r="C679" s="225"/>
      <c r="D679" s="225"/>
      <c r="E679" s="225"/>
      <c r="F679" s="225"/>
      <c r="G679" s="225"/>
      <c r="H679" s="225"/>
      <c r="I679" s="225"/>
      <c r="J679" s="225"/>
      <c r="K679" s="225"/>
      <c r="L679" s="225"/>
      <c r="M679" s="225"/>
      <c r="N679" s="225"/>
      <c r="O679" s="225"/>
      <c r="P679" s="225"/>
      <c r="Q679" s="225"/>
      <c r="R679" s="225"/>
      <c r="S679" s="225"/>
      <c r="T679" s="225"/>
      <c r="U679" s="225"/>
      <c r="V679" s="225"/>
      <c r="W679" s="225"/>
      <c r="X679" s="225"/>
    </row>
    <row r="680" spans="1:24" ht="13.8" x14ac:dyDescent="0.3">
      <c r="A680" s="225"/>
      <c r="B680" s="225"/>
      <c r="C680" s="225"/>
      <c r="D680" s="225"/>
      <c r="E680" s="225"/>
      <c r="F680" s="225"/>
      <c r="G680" s="225"/>
      <c r="H680" s="225"/>
      <c r="I680" s="225"/>
      <c r="J680" s="225"/>
      <c r="K680" s="225"/>
      <c r="L680" s="225"/>
      <c r="M680" s="225"/>
      <c r="N680" s="225"/>
      <c r="O680" s="225"/>
      <c r="P680" s="225"/>
      <c r="Q680" s="225"/>
      <c r="R680" s="225"/>
      <c r="S680" s="225"/>
      <c r="T680" s="225"/>
      <c r="U680" s="225"/>
      <c r="V680" s="225"/>
      <c r="W680" s="225"/>
      <c r="X680" s="225"/>
    </row>
    <row r="681" spans="1:24" ht="13.8" x14ac:dyDescent="0.3">
      <c r="A681" s="225"/>
      <c r="B681" s="225"/>
      <c r="C681" s="225"/>
      <c r="D681" s="225"/>
      <c r="E681" s="225"/>
      <c r="F681" s="225"/>
      <c r="G681" s="225"/>
      <c r="H681" s="225"/>
      <c r="I681" s="225"/>
      <c r="J681" s="225"/>
      <c r="K681" s="225"/>
      <c r="L681" s="225"/>
      <c r="M681" s="225"/>
      <c r="N681" s="225"/>
      <c r="O681" s="225"/>
      <c r="P681" s="225"/>
      <c r="Q681" s="225"/>
      <c r="R681" s="225"/>
      <c r="S681" s="225"/>
      <c r="T681" s="225"/>
      <c r="U681" s="225"/>
      <c r="V681" s="225"/>
      <c r="W681" s="225"/>
      <c r="X681" s="225"/>
    </row>
    <row r="682" spans="1:24" ht="13.8" x14ac:dyDescent="0.3">
      <c r="A682" s="225"/>
      <c r="B682" s="225"/>
      <c r="C682" s="225"/>
      <c r="D682" s="225"/>
      <c r="E682" s="225"/>
      <c r="F682" s="225"/>
      <c r="G682" s="225"/>
      <c r="H682" s="225"/>
      <c r="I682" s="225"/>
      <c r="J682" s="225"/>
      <c r="K682" s="225"/>
      <c r="L682" s="225"/>
      <c r="M682" s="225"/>
      <c r="N682" s="225"/>
      <c r="O682" s="225"/>
      <c r="P682" s="225"/>
      <c r="Q682" s="225"/>
      <c r="R682" s="225"/>
      <c r="S682" s="225"/>
      <c r="T682" s="225"/>
      <c r="U682" s="225"/>
      <c r="V682" s="225"/>
      <c r="W682" s="225"/>
      <c r="X682" s="225"/>
    </row>
    <row r="683" spans="1:24" ht="13.8" x14ac:dyDescent="0.3">
      <c r="A683" s="225"/>
      <c r="B683" s="225"/>
      <c r="C683" s="225"/>
      <c r="D683" s="225"/>
      <c r="E683" s="225"/>
      <c r="F683" s="225"/>
      <c r="G683" s="225"/>
      <c r="H683" s="225"/>
      <c r="I683" s="225"/>
      <c r="J683" s="225"/>
      <c r="K683" s="225"/>
      <c r="L683" s="225"/>
      <c r="M683" s="225"/>
      <c r="N683" s="225"/>
      <c r="O683" s="225"/>
      <c r="P683" s="225"/>
      <c r="Q683" s="225"/>
      <c r="R683" s="225"/>
      <c r="S683" s="225"/>
      <c r="T683" s="225"/>
      <c r="U683" s="225"/>
      <c r="V683" s="225"/>
      <c r="W683" s="225"/>
      <c r="X683" s="225"/>
    </row>
    <row r="684" spans="1:24" ht="13.8" x14ac:dyDescent="0.3">
      <c r="A684" s="225"/>
      <c r="B684" s="225"/>
      <c r="C684" s="225"/>
      <c r="D684" s="225"/>
      <c r="E684" s="225"/>
      <c r="F684" s="225"/>
      <c r="G684" s="225"/>
      <c r="H684" s="225"/>
      <c r="I684" s="225"/>
      <c r="J684" s="225"/>
      <c r="K684" s="225"/>
      <c r="L684" s="225"/>
      <c r="M684" s="225"/>
      <c r="N684" s="225"/>
      <c r="O684" s="225"/>
      <c r="P684" s="225"/>
      <c r="Q684" s="225"/>
      <c r="R684" s="225"/>
      <c r="S684" s="225"/>
      <c r="T684" s="225"/>
      <c r="U684" s="225"/>
      <c r="V684" s="225"/>
      <c r="W684" s="225"/>
      <c r="X684" s="225"/>
    </row>
    <row r="685" spans="1:24" ht="13.8" x14ac:dyDescent="0.3">
      <c r="A685" s="225"/>
      <c r="B685" s="225"/>
      <c r="C685" s="225"/>
      <c r="D685" s="225"/>
      <c r="E685" s="225"/>
      <c r="F685" s="225"/>
      <c r="G685" s="225"/>
      <c r="H685" s="225"/>
      <c r="I685" s="225"/>
      <c r="J685" s="225"/>
      <c r="K685" s="225"/>
      <c r="L685" s="225"/>
      <c r="M685" s="225"/>
      <c r="N685" s="225"/>
      <c r="O685" s="225"/>
      <c r="P685" s="225"/>
      <c r="Q685" s="225"/>
      <c r="R685" s="225"/>
      <c r="S685" s="225"/>
      <c r="T685" s="225"/>
      <c r="U685" s="225"/>
      <c r="V685" s="225"/>
      <c r="W685" s="225"/>
      <c r="X685" s="225"/>
    </row>
    <row r="686" spans="1:24" ht="13.8" x14ac:dyDescent="0.3">
      <c r="A686" s="225"/>
      <c r="B686" s="225"/>
      <c r="C686" s="225"/>
      <c r="D686" s="225"/>
      <c r="E686" s="225"/>
      <c r="F686" s="225"/>
      <c r="G686" s="225"/>
      <c r="H686" s="225"/>
      <c r="I686" s="225"/>
      <c r="J686" s="225"/>
      <c r="K686" s="225"/>
      <c r="L686" s="225"/>
      <c r="M686" s="225"/>
      <c r="N686" s="225"/>
      <c r="O686" s="225"/>
      <c r="P686" s="225"/>
      <c r="Q686" s="225"/>
      <c r="R686" s="225"/>
      <c r="S686" s="225"/>
      <c r="T686" s="225"/>
      <c r="U686" s="225"/>
      <c r="V686" s="225"/>
      <c r="W686" s="225"/>
      <c r="X686" s="225"/>
    </row>
    <row r="687" spans="1:24" ht="13.8" x14ac:dyDescent="0.3">
      <c r="A687" s="225"/>
      <c r="B687" s="225"/>
      <c r="C687" s="225"/>
      <c r="D687" s="225"/>
      <c r="E687" s="225"/>
      <c r="F687" s="225"/>
      <c r="G687" s="225"/>
      <c r="H687" s="225"/>
      <c r="I687" s="225"/>
      <c r="J687" s="225"/>
      <c r="K687" s="225"/>
      <c r="L687" s="225"/>
      <c r="M687" s="225"/>
      <c r="N687" s="225"/>
      <c r="O687" s="225"/>
      <c r="P687" s="225"/>
      <c r="Q687" s="225"/>
      <c r="R687" s="225"/>
      <c r="S687" s="225"/>
      <c r="T687" s="225"/>
      <c r="U687" s="225"/>
      <c r="V687" s="225"/>
      <c r="W687" s="225"/>
      <c r="X687" s="225"/>
    </row>
    <row r="688" spans="1:24" ht="13.8" x14ac:dyDescent="0.3">
      <c r="A688" s="225"/>
      <c r="B688" s="225"/>
      <c r="C688" s="225"/>
      <c r="D688" s="225"/>
      <c r="E688" s="225"/>
      <c r="F688" s="225"/>
      <c r="G688" s="225"/>
      <c r="H688" s="225"/>
      <c r="I688" s="225"/>
      <c r="J688" s="225"/>
      <c r="K688" s="225"/>
      <c r="L688" s="225"/>
      <c r="M688" s="225"/>
      <c r="N688" s="225"/>
      <c r="O688" s="225"/>
      <c r="P688" s="225"/>
      <c r="Q688" s="225"/>
      <c r="R688" s="225"/>
      <c r="S688" s="225"/>
      <c r="T688" s="225"/>
      <c r="U688" s="225"/>
      <c r="V688" s="225"/>
      <c r="W688" s="225"/>
      <c r="X688" s="225"/>
    </row>
    <row r="689" spans="1:24" ht="13.8" x14ac:dyDescent="0.3">
      <c r="A689" s="225"/>
      <c r="B689" s="225"/>
      <c r="C689" s="225"/>
      <c r="D689" s="225"/>
      <c r="E689" s="225"/>
      <c r="F689" s="225"/>
      <c r="G689" s="225"/>
      <c r="H689" s="225"/>
      <c r="I689" s="225"/>
      <c r="J689" s="225"/>
      <c r="K689" s="225"/>
      <c r="L689" s="225"/>
      <c r="M689" s="225"/>
      <c r="N689" s="225"/>
      <c r="O689" s="225"/>
      <c r="P689" s="225"/>
      <c r="Q689" s="225"/>
      <c r="R689" s="225"/>
      <c r="S689" s="225"/>
      <c r="T689" s="225"/>
      <c r="U689" s="225"/>
      <c r="V689" s="225"/>
      <c r="W689" s="225"/>
      <c r="X689" s="225"/>
    </row>
    <row r="690" spans="1:24" ht="13.8" x14ac:dyDescent="0.3">
      <c r="A690" s="225"/>
      <c r="B690" s="225"/>
      <c r="C690" s="225"/>
      <c r="D690" s="225"/>
      <c r="E690" s="225"/>
      <c r="F690" s="225"/>
      <c r="G690" s="225"/>
      <c r="H690" s="225"/>
      <c r="I690" s="225"/>
      <c r="J690" s="225"/>
      <c r="K690" s="225"/>
      <c r="L690" s="225"/>
      <c r="M690" s="225"/>
      <c r="N690" s="225"/>
      <c r="O690" s="225"/>
      <c r="P690" s="225"/>
      <c r="Q690" s="225"/>
      <c r="R690" s="225"/>
      <c r="S690" s="225"/>
      <c r="T690" s="225"/>
      <c r="U690" s="225"/>
      <c r="V690" s="225"/>
      <c r="W690" s="225"/>
      <c r="X690" s="225"/>
    </row>
    <row r="691" spans="1:24" ht="13.8" x14ac:dyDescent="0.3">
      <c r="A691" s="225"/>
      <c r="B691" s="225"/>
      <c r="C691" s="225"/>
      <c r="D691" s="225"/>
      <c r="E691" s="225"/>
      <c r="F691" s="225"/>
      <c r="G691" s="225"/>
      <c r="H691" s="225"/>
      <c r="I691" s="225"/>
      <c r="J691" s="225"/>
      <c r="K691" s="225"/>
      <c r="L691" s="225"/>
      <c r="M691" s="225"/>
      <c r="N691" s="225"/>
      <c r="O691" s="225"/>
      <c r="P691" s="225"/>
      <c r="Q691" s="225"/>
      <c r="R691" s="225"/>
      <c r="S691" s="225"/>
      <c r="T691" s="225"/>
      <c r="U691" s="225"/>
      <c r="V691" s="225"/>
      <c r="W691" s="225"/>
      <c r="X691" s="225"/>
    </row>
    <row r="692" spans="1:24" ht="13.8" x14ac:dyDescent="0.3">
      <c r="A692" s="225"/>
      <c r="B692" s="225"/>
      <c r="C692" s="225"/>
      <c r="D692" s="225"/>
      <c r="E692" s="225"/>
      <c r="F692" s="225"/>
      <c r="G692" s="225"/>
      <c r="H692" s="225"/>
      <c r="I692" s="225"/>
      <c r="J692" s="225"/>
      <c r="K692" s="225"/>
      <c r="L692" s="225"/>
      <c r="M692" s="225"/>
      <c r="N692" s="225"/>
      <c r="O692" s="225"/>
      <c r="P692" s="225"/>
      <c r="Q692" s="225"/>
      <c r="R692" s="225"/>
      <c r="S692" s="225"/>
      <c r="T692" s="225"/>
      <c r="U692" s="225"/>
      <c r="V692" s="225"/>
      <c r="W692" s="225"/>
      <c r="X692" s="225"/>
    </row>
    <row r="693" spans="1:24" ht="13.8" x14ac:dyDescent="0.3">
      <c r="A693" s="225"/>
      <c r="B693" s="225"/>
      <c r="C693" s="225"/>
      <c r="D693" s="225"/>
      <c r="E693" s="225"/>
      <c r="F693" s="225"/>
      <c r="G693" s="225"/>
      <c r="H693" s="225"/>
      <c r="I693" s="225"/>
      <c r="J693" s="225"/>
      <c r="K693" s="225"/>
      <c r="L693" s="225"/>
      <c r="M693" s="225"/>
      <c r="N693" s="225"/>
      <c r="O693" s="225"/>
      <c r="P693" s="225"/>
      <c r="Q693" s="225"/>
      <c r="R693" s="225"/>
      <c r="S693" s="225"/>
      <c r="T693" s="225"/>
      <c r="U693" s="225"/>
      <c r="V693" s="225"/>
      <c r="W693" s="225"/>
      <c r="X693" s="225"/>
    </row>
    <row r="694" spans="1:24" ht="13.8" x14ac:dyDescent="0.3">
      <c r="A694" s="225"/>
      <c r="B694" s="225"/>
      <c r="C694" s="225"/>
      <c r="D694" s="225"/>
      <c r="E694" s="225"/>
      <c r="F694" s="225"/>
      <c r="G694" s="225"/>
      <c r="H694" s="225"/>
      <c r="I694" s="225"/>
      <c r="J694" s="225"/>
      <c r="K694" s="225"/>
      <c r="L694" s="225"/>
      <c r="M694" s="225"/>
      <c r="N694" s="225"/>
      <c r="O694" s="225"/>
      <c r="P694" s="225"/>
      <c r="Q694" s="225"/>
      <c r="R694" s="225"/>
      <c r="S694" s="225"/>
      <c r="T694" s="225"/>
      <c r="U694" s="225"/>
      <c r="V694" s="225"/>
      <c r="W694" s="225"/>
      <c r="X694" s="225"/>
    </row>
    <row r="695" spans="1:24" ht="13.8" x14ac:dyDescent="0.3">
      <c r="A695" s="225"/>
      <c r="B695" s="225"/>
      <c r="C695" s="225"/>
      <c r="D695" s="225"/>
      <c r="E695" s="225"/>
      <c r="F695" s="225"/>
      <c r="G695" s="225"/>
      <c r="H695" s="225"/>
      <c r="I695" s="225"/>
      <c r="J695" s="225"/>
      <c r="K695" s="225"/>
      <c r="L695" s="225"/>
      <c r="M695" s="225"/>
      <c r="N695" s="225"/>
      <c r="O695" s="225"/>
      <c r="P695" s="225"/>
      <c r="Q695" s="225"/>
      <c r="R695" s="225"/>
      <c r="S695" s="225"/>
      <c r="T695" s="225"/>
      <c r="U695" s="225"/>
      <c r="V695" s="225"/>
      <c r="W695" s="225"/>
      <c r="X695" s="225"/>
    </row>
    <row r="696" spans="1:24" ht="13.8" x14ac:dyDescent="0.3">
      <c r="A696" s="225"/>
      <c r="B696" s="225"/>
      <c r="C696" s="225"/>
      <c r="D696" s="225"/>
      <c r="E696" s="225"/>
      <c r="F696" s="225"/>
      <c r="G696" s="225"/>
      <c r="H696" s="225"/>
      <c r="I696" s="225"/>
      <c r="J696" s="225"/>
      <c r="K696" s="225"/>
      <c r="L696" s="225"/>
      <c r="M696" s="225"/>
      <c r="N696" s="225"/>
      <c r="O696" s="225"/>
      <c r="P696" s="225"/>
      <c r="Q696" s="225"/>
      <c r="R696" s="225"/>
      <c r="S696" s="225"/>
      <c r="T696" s="225"/>
      <c r="U696" s="225"/>
      <c r="V696" s="225"/>
      <c r="W696" s="225"/>
      <c r="X696" s="225"/>
    </row>
    <row r="697" spans="1:24" ht="13.8" x14ac:dyDescent="0.3">
      <c r="A697" s="225"/>
      <c r="B697" s="225"/>
      <c r="C697" s="225"/>
      <c r="D697" s="225"/>
      <c r="E697" s="225"/>
      <c r="F697" s="225"/>
      <c r="G697" s="225"/>
      <c r="H697" s="225"/>
      <c r="I697" s="225"/>
      <c r="J697" s="225"/>
      <c r="K697" s="225"/>
      <c r="L697" s="225"/>
      <c r="M697" s="225"/>
      <c r="N697" s="225"/>
      <c r="O697" s="225"/>
      <c r="P697" s="225"/>
      <c r="Q697" s="225"/>
      <c r="R697" s="225"/>
      <c r="S697" s="225"/>
      <c r="T697" s="225"/>
      <c r="U697" s="225"/>
      <c r="V697" s="225"/>
      <c r="W697" s="225"/>
      <c r="X697" s="225"/>
    </row>
    <row r="698" spans="1:24" ht="13.8" x14ac:dyDescent="0.3">
      <c r="A698" s="225"/>
      <c r="B698" s="225"/>
      <c r="C698" s="225"/>
      <c r="D698" s="225"/>
      <c r="E698" s="225"/>
      <c r="F698" s="225"/>
      <c r="G698" s="225"/>
      <c r="H698" s="225"/>
      <c r="I698" s="225"/>
      <c r="J698" s="225"/>
      <c r="K698" s="225"/>
      <c r="L698" s="225"/>
      <c r="M698" s="225"/>
      <c r="N698" s="225"/>
      <c r="O698" s="225"/>
      <c r="P698" s="225"/>
      <c r="Q698" s="225"/>
      <c r="R698" s="225"/>
      <c r="S698" s="225"/>
      <c r="T698" s="225"/>
      <c r="U698" s="225"/>
      <c r="V698" s="225"/>
      <c r="W698" s="225"/>
      <c r="X698" s="225"/>
    </row>
    <row r="699" spans="1:24" ht="13.8" x14ac:dyDescent="0.3">
      <c r="A699" s="225"/>
      <c r="B699" s="225"/>
      <c r="C699" s="225"/>
      <c r="D699" s="225"/>
      <c r="E699" s="225"/>
      <c r="F699" s="225"/>
      <c r="G699" s="225"/>
      <c r="H699" s="225"/>
      <c r="I699" s="225"/>
      <c r="J699" s="225"/>
      <c r="K699" s="225"/>
      <c r="L699" s="225"/>
      <c r="M699" s="225"/>
      <c r="N699" s="225"/>
      <c r="O699" s="225"/>
      <c r="P699" s="225"/>
      <c r="Q699" s="225"/>
      <c r="R699" s="225"/>
      <c r="S699" s="225"/>
      <c r="T699" s="225"/>
      <c r="U699" s="225"/>
      <c r="V699" s="225"/>
      <c r="W699" s="225"/>
      <c r="X699" s="225"/>
    </row>
    <row r="700" spans="1:24" ht="13.8" x14ac:dyDescent="0.3">
      <c r="A700" s="225"/>
      <c r="B700" s="225"/>
      <c r="C700" s="225"/>
      <c r="D700" s="225"/>
      <c r="E700" s="225"/>
      <c r="F700" s="225"/>
      <c r="G700" s="225"/>
      <c r="H700" s="225"/>
      <c r="I700" s="225"/>
      <c r="J700" s="225"/>
      <c r="K700" s="225"/>
      <c r="L700" s="225"/>
      <c r="M700" s="225"/>
      <c r="N700" s="225"/>
      <c r="O700" s="225"/>
      <c r="P700" s="225"/>
      <c r="Q700" s="225"/>
      <c r="R700" s="225"/>
      <c r="S700" s="225"/>
      <c r="T700" s="225"/>
      <c r="U700" s="225"/>
      <c r="V700" s="225"/>
      <c r="W700" s="225"/>
      <c r="X700" s="225"/>
    </row>
    <row r="701" spans="1:24" ht="13.8" x14ac:dyDescent="0.3">
      <c r="A701" s="225"/>
      <c r="B701" s="225"/>
      <c r="C701" s="225"/>
      <c r="D701" s="225"/>
      <c r="E701" s="225"/>
      <c r="F701" s="225"/>
      <c r="G701" s="225"/>
      <c r="H701" s="225"/>
      <c r="I701" s="225"/>
      <c r="J701" s="225"/>
      <c r="K701" s="225"/>
      <c r="L701" s="225"/>
      <c r="M701" s="225"/>
      <c r="N701" s="225"/>
      <c r="O701" s="225"/>
      <c r="P701" s="225"/>
      <c r="Q701" s="225"/>
      <c r="R701" s="225"/>
      <c r="S701" s="225"/>
      <c r="T701" s="225"/>
      <c r="U701" s="225"/>
      <c r="V701" s="225"/>
      <c r="W701" s="225"/>
      <c r="X701" s="225"/>
    </row>
    <row r="702" spans="1:24" ht="13.8" x14ac:dyDescent="0.3">
      <c r="A702" s="225"/>
      <c r="B702" s="225"/>
      <c r="C702" s="225"/>
      <c r="D702" s="225"/>
      <c r="E702" s="225"/>
      <c r="F702" s="225"/>
      <c r="G702" s="225"/>
      <c r="H702" s="225"/>
      <c r="I702" s="225"/>
      <c r="J702" s="225"/>
      <c r="K702" s="225"/>
      <c r="L702" s="225"/>
      <c r="M702" s="225"/>
      <c r="N702" s="225"/>
      <c r="O702" s="225"/>
      <c r="P702" s="225"/>
      <c r="Q702" s="225"/>
      <c r="R702" s="225"/>
      <c r="S702" s="225"/>
      <c r="T702" s="225"/>
      <c r="U702" s="225"/>
      <c r="V702" s="225"/>
      <c r="W702" s="225"/>
      <c r="X702" s="225"/>
    </row>
    <row r="703" spans="1:24" ht="13.8" x14ac:dyDescent="0.3">
      <c r="A703" s="225"/>
      <c r="B703" s="225"/>
      <c r="C703" s="225"/>
      <c r="D703" s="225"/>
      <c r="E703" s="225"/>
      <c r="F703" s="225"/>
      <c r="G703" s="225"/>
      <c r="H703" s="225"/>
      <c r="I703" s="225"/>
      <c r="J703" s="225"/>
      <c r="K703" s="225"/>
      <c r="L703" s="225"/>
      <c r="M703" s="225"/>
      <c r="N703" s="225"/>
      <c r="O703" s="225"/>
      <c r="P703" s="225"/>
      <c r="Q703" s="225"/>
      <c r="R703" s="225"/>
      <c r="S703" s="225"/>
      <c r="T703" s="225"/>
      <c r="U703" s="225"/>
      <c r="V703" s="225"/>
      <c r="W703" s="225"/>
      <c r="X703" s="225"/>
    </row>
    <row r="704" spans="1:24" ht="13.8" x14ac:dyDescent="0.3">
      <c r="A704" s="225"/>
      <c r="B704" s="225"/>
      <c r="C704" s="225"/>
      <c r="D704" s="225"/>
      <c r="E704" s="225"/>
      <c r="F704" s="225"/>
      <c r="G704" s="225"/>
      <c r="H704" s="225"/>
      <c r="I704" s="225"/>
      <c r="J704" s="225"/>
      <c r="K704" s="225"/>
      <c r="L704" s="225"/>
      <c r="M704" s="225"/>
      <c r="N704" s="225"/>
      <c r="O704" s="225"/>
      <c r="P704" s="225"/>
      <c r="Q704" s="225"/>
      <c r="R704" s="225"/>
      <c r="S704" s="225"/>
      <c r="T704" s="225"/>
      <c r="U704" s="225"/>
      <c r="V704" s="225"/>
      <c r="W704" s="225"/>
      <c r="X704" s="225"/>
    </row>
    <row r="705" spans="1:24" ht="13.8" x14ac:dyDescent="0.3">
      <c r="A705" s="225"/>
      <c r="B705" s="225"/>
      <c r="C705" s="225"/>
      <c r="D705" s="225"/>
      <c r="E705" s="225"/>
      <c r="F705" s="225"/>
      <c r="G705" s="225"/>
      <c r="H705" s="225"/>
      <c r="I705" s="225"/>
      <c r="J705" s="225"/>
      <c r="K705" s="225"/>
      <c r="L705" s="225"/>
      <c r="M705" s="225"/>
      <c r="N705" s="225"/>
      <c r="O705" s="225"/>
      <c r="P705" s="225"/>
      <c r="Q705" s="225"/>
      <c r="R705" s="225"/>
      <c r="S705" s="225"/>
      <c r="T705" s="225"/>
      <c r="U705" s="225"/>
      <c r="V705" s="225"/>
      <c r="W705" s="225"/>
      <c r="X705" s="225"/>
    </row>
    <row r="706" spans="1:24" ht="13.8" x14ac:dyDescent="0.3">
      <c r="A706" s="225"/>
      <c r="B706" s="225"/>
      <c r="C706" s="225"/>
      <c r="D706" s="225"/>
      <c r="E706" s="225"/>
      <c r="F706" s="225"/>
      <c r="G706" s="225"/>
      <c r="H706" s="225"/>
      <c r="I706" s="225"/>
      <c r="J706" s="225"/>
      <c r="K706" s="225"/>
      <c r="L706" s="225"/>
      <c r="M706" s="225"/>
      <c r="N706" s="225"/>
      <c r="O706" s="225"/>
      <c r="P706" s="225"/>
      <c r="Q706" s="225"/>
      <c r="R706" s="225"/>
      <c r="S706" s="225"/>
      <c r="T706" s="225"/>
      <c r="U706" s="225"/>
      <c r="V706" s="225"/>
      <c r="W706" s="225"/>
      <c r="X706" s="225"/>
    </row>
    <row r="707" spans="1:24" ht="13.8" x14ac:dyDescent="0.3">
      <c r="A707" s="225"/>
      <c r="B707" s="225"/>
      <c r="C707" s="225"/>
      <c r="D707" s="225"/>
      <c r="E707" s="225"/>
      <c r="F707" s="225"/>
      <c r="G707" s="225"/>
      <c r="H707" s="225"/>
      <c r="I707" s="225"/>
      <c r="J707" s="225"/>
      <c r="K707" s="225"/>
      <c r="L707" s="225"/>
      <c r="M707" s="225"/>
      <c r="N707" s="225"/>
      <c r="O707" s="225"/>
      <c r="P707" s="225"/>
      <c r="Q707" s="225"/>
      <c r="R707" s="225"/>
      <c r="S707" s="225"/>
      <c r="T707" s="225"/>
      <c r="U707" s="225"/>
      <c r="V707" s="225"/>
      <c r="W707" s="225"/>
      <c r="X707" s="225"/>
    </row>
    <row r="708" spans="1:24" ht="13.8" x14ac:dyDescent="0.3">
      <c r="A708" s="225"/>
      <c r="B708" s="225"/>
      <c r="C708" s="225"/>
      <c r="D708" s="225"/>
      <c r="E708" s="225"/>
      <c r="F708" s="225"/>
      <c r="G708" s="225"/>
      <c r="H708" s="225"/>
      <c r="I708" s="225"/>
      <c r="J708" s="225"/>
      <c r="K708" s="225"/>
      <c r="L708" s="225"/>
      <c r="M708" s="225"/>
      <c r="N708" s="225"/>
      <c r="O708" s="225"/>
      <c r="P708" s="225"/>
      <c r="Q708" s="225"/>
      <c r="R708" s="225"/>
      <c r="S708" s="225"/>
      <c r="T708" s="225"/>
      <c r="U708" s="225"/>
      <c r="V708" s="225"/>
      <c r="W708" s="225"/>
      <c r="X708" s="225"/>
    </row>
    <row r="709" spans="1:24" ht="13.8" x14ac:dyDescent="0.3">
      <c r="A709" s="225"/>
      <c r="B709" s="225"/>
      <c r="C709" s="225"/>
      <c r="D709" s="225"/>
      <c r="E709" s="225"/>
      <c r="F709" s="225"/>
      <c r="G709" s="225"/>
      <c r="H709" s="225"/>
      <c r="I709" s="225"/>
      <c r="J709" s="225"/>
      <c r="K709" s="225"/>
      <c r="L709" s="225"/>
      <c r="M709" s="225"/>
      <c r="N709" s="225"/>
      <c r="O709" s="225"/>
      <c r="P709" s="225"/>
      <c r="Q709" s="225"/>
      <c r="R709" s="225"/>
      <c r="S709" s="225"/>
      <c r="T709" s="225"/>
      <c r="U709" s="225"/>
      <c r="V709" s="225"/>
      <c r="W709" s="225"/>
      <c r="X709" s="225"/>
    </row>
    <row r="710" spans="1:24" ht="13.8" x14ac:dyDescent="0.3">
      <c r="A710" s="225"/>
      <c r="B710" s="225"/>
      <c r="C710" s="225"/>
      <c r="D710" s="225"/>
      <c r="E710" s="225"/>
      <c r="F710" s="225"/>
      <c r="G710" s="225"/>
      <c r="H710" s="225"/>
      <c r="I710" s="225"/>
      <c r="J710" s="225"/>
      <c r="K710" s="225"/>
      <c r="L710" s="225"/>
      <c r="M710" s="225"/>
      <c r="N710" s="225"/>
      <c r="O710" s="225"/>
      <c r="P710" s="225"/>
      <c r="Q710" s="225"/>
      <c r="R710" s="225"/>
      <c r="S710" s="225"/>
      <c r="T710" s="225"/>
      <c r="U710" s="225"/>
      <c r="V710" s="225"/>
      <c r="W710" s="225"/>
      <c r="X710" s="225"/>
    </row>
    <row r="711" spans="1:24" ht="13.8" x14ac:dyDescent="0.3">
      <c r="A711" s="225"/>
      <c r="B711" s="225"/>
      <c r="C711" s="225"/>
      <c r="D711" s="225"/>
      <c r="E711" s="225"/>
      <c r="F711" s="225"/>
      <c r="G711" s="225"/>
      <c r="H711" s="225"/>
      <c r="I711" s="225"/>
      <c r="J711" s="225"/>
      <c r="K711" s="225"/>
      <c r="L711" s="225"/>
      <c r="M711" s="225"/>
      <c r="N711" s="225"/>
      <c r="O711" s="225"/>
      <c r="P711" s="225"/>
      <c r="Q711" s="225"/>
      <c r="R711" s="225"/>
      <c r="S711" s="225"/>
      <c r="T711" s="225"/>
      <c r="U711" s="225"/>
      <c r="V711" s="225"/>
      <c r="W711" s="225"/>
      <c r="X711" s="225"/>
    </row>
    <row r="712" spans="1:24" ht="13.8" x14ac:dyDescent="0.3">
      <c r="A712" s="225"/>
      <c r="B712" s="225"/>
      <c r="C712" s="225"/>
      <c r="D712" s="225"/>
      <c r="E712" s="225"/>
      <c r="F712" s="225"/>
      <c r="G712" s="225"/>
      <c r="H712" s="225"/>
      <c r="I712" s="225"/>
      <c r="J712" s="225"/>
      <c r="K712" s="225"/>
      <c r="L712" s="225"/>
      <c r="M712" s="225"/>
      <c r="N712" s="225"/>
      <c r="O712" s="225"/>
      <c r="P712" s="225"/>
      <c r="Q712" s="225"/>
      <c r="R712" s="225"/>
      <c r="S712" s="225"/>
      <c r="T712" s="225"/>
      <c r="U712" s="225"/>
      <c r="V712" s="225"/>
      <c r="W712" s="225"/>
      <c r="X712" s="225"/>
    </row>
    <row r="713" spans="1:24" ht="13.8" x14ac:dyDescent="0.3">
      <c r="A713" s="225"/>
      <c r="B713" s="225"/>
      <c r="C713" s="225"/>
      <c r="D713" s="225"/>
      <c r="E713" s="225"/>
      <c r="F713" s="225"/>
      <c r="G713" s="225"/>
      <c r="H713" s="225"/>
      <c r="I713" s="225"/>
      <c r="J713" s="225"/>
      <c r="K713" s="225"/>
      <c r="L713" s="225"/>
      <c r="M713" s="225"/>
      <c r="N713" s="225"/>
      <c r="O713" s="225"/>
      <c r="P713" s="225"/>
      <c r="Q713" s="225"/>
      <c r="R713" s="225"/>
      <c r="S713" s="225"/>
      <c r="T713" s="225"/>
      <c r="U713" s="225"/>
      <c r="V713" s="225"/>
      <c r="W713" s="225"/>
      <c r="X713" s="225"/>
    </row>
    <row r="714" spans="1:24" ht="13.8" x14ac:dyDescent="0.3">
      <c r="A714" s="225"/>
      <c r="B714" s="225"/>
      <c r="C714" s="225"/>
      <c r="D714" s="225"/>
      <c r="E714" s="225"/>
      <c r="F714" s="225"/>
      <c r="G714" s="225"/>
      <c r="H714" s="225"/>
      <c r="I714" s="225"/>
      <c r="J714" s="225"/>
      <c r="K714" s="225"/>
      <c r="L714" s="225"/>
      <c r="M714" s="225"/>
      <c r="N714" s="225"/>
      <c r="O714" s="225"/>
      <c r="P714" s="225"/>
      <c r="Q714" s="225"/>
      <c r="R714" s="225"/>
      <c r="S714" s="225"/>
      <c r="T714" s="225"/>
      <c r="U714" s="225"/>
      <c r="V714" s="225"/>
      <c r="W714" s="225"/>
      <c r="X714" s="225"/>
    </row>
    <row r="715" spans="1:24" ht="13.8" x14ac:dyDescent="0.3">
      <c r="A715" s="225"/>
      <c r="B715" s="225"/>
      <c r="C715" s="225"/>
      <c r="D715" s="225"/>
      <c r="E715" s="225"/>
      <c r="F715" s="225"/>
      <c r="G715" s="225"/>
      <c r="H715" s="225"/>
      <c r="I715" s="225"/>
      <c r="J715" s="225"/>
      <c r="K715" s="225"/>
      <c r="L715" s="225"/>
      <c r="M715" s="225"/>
      <c r="N715" s="225"/>
      <c r="O715" s="225"/>
      <c r="P715" s="225"/>
      <c r="Q715" s="225"/>
      <c r="R715" s="225"/>
      <c r="S715" s="225"/>
      <c r="T715" s="225"/>
      <c r="U715" s="225"/>
      <c r="V715" s="225"/>
      <c r="W715" s="225"/>
      <c r="X715" s="225"/>
    </row>
    <row r="716" spans="1:24" ht="13.8" x14ac:dyDescent="0.3">
      <c r="A716" s="225"/>
      <c r="B716" s="225"/>
      <c r="C716" s="225"/>
      <c r="D716" s="225"/>
      <c r="E716" s="225"/>
      <c r="F716" s="225"/>
      <c r="G716" s="225"/>
      <c r="H716" s="225"/>
      <c r="I716" s="225"/>
      <c r="J716" s="225"/>
      <c r="K716" s="225"/>
      <c r="L716" s="225"/>
      <c r="M716" s="225"/>
      <c r="N716" s="225"/>
      <c r="O716" s="225"/>
      <c r="P716" s="225"/>
      <c r="Q716" s="225"/>
      <c r="R716" s="225"/>
      <c r="S716" s="225"/>
      <c r="T716" s="225"/>
      <c r="U716" s="225"/>
      <c r="V716" s="225"/>
      <c r="W716" s="225"/>
      <c r="X716" s="225"/>
    </row>
    <row r="717" spans="1:24" ht="13.8" x14ac:dyDescent="0.3">
      <c r="A717" s="225"/>
      <c r="B717" s="225"/>
      <c r="C717" s="225"/>
      <c r="D717" s="225"/>
      <c r="E717" s="225"/>
      <c r="F717" s="225"/>
      <c r="G717" s="225"/>
      <c r="H717" s="225"/>
      <c r="I717" s="225"/>
      <c r="J717" s="225"/>
      <c r="K717" s="225"/>
      <c r="L717" s="225"/>
      <c r="M717" s="225"/>
      <c r="N717" s="225"/>
      <c r="O717" s="225"/>
      <c r="P717" s="225"/>
      <c r="Q717" s="225"/>
      <c r="R717" s="225"/>
      <c r="S717" s="225"/>
      <c r="T717" s="225"/>
      <c r="U717" s="225"/>
      <c r="V717" s="225"/>
      <c r="W717" s="225"/>
      <c r="X717" s="225"/>
    </row>
    <row r="718" spans="1:24" ht="13.8" x14ac:dyDescent="0.3">
      <c r="A718" s="225"/>
      <c r="B718" s="225"/>
      <c r="C718" s="225"/>
      <c r="D718" s="225"/>
      <c r="E718" s="225"/>
      <c r="F718" s="225"/>
      <c r="G718" s="225"/>
      <c r="H718" s="225"/>
      <c r="I718" s="225"/>
      <c r="J718" s="225"/>
      <c r="K718" s="225"/>
      <c r="L718" s="225"/>
      <c r="M718" s="225"/>
      <c r="N718" s="225"/>
      <c r="O718" s="225"/>
      <c r="P718" s="225"/>
      <c r="Q718" s="225"/>
      <c r="R718" s="225"/>
      <c r="S718" s="225"/>
      <c r="T718" s="225"/>
      <c r="U718" s="225"/>
      <c r="V718" s="225"/>
      <c r="W718" s="225"/>
      <c r="X718" s="225"/>
    </row>
    <row r="719" spans="1:24" ht="13.8" x14ac:dyDescent="0.3">
      <c r="A719" s="225"/>
      <c r="B719" s="225"/>
      <c r="C719" s="225"/>
      <c r="D719" s="225"/>
      <c r="E719" s="225"/>
      <c r="F719" s="225"/>
      <c r="G719" s="225"/>
      <c r="H719" s="225"/>
      <c r="I719" s="225"/>
      <c r="J719" s="225"/>
      <c r="K719" s="225"/>
      <c r="L719" s="225"/>
      <c r="M719" s="225"/>
      <c r="N719" s="225"/>
      <c r="O719" s="225"/>
      <c r="P719" s="225"/>
      <c r="Q719" s="225"/>
      <c r="R719" s="225"/>
      <c r="S719" s="225"/>
      <c r="T719" s="225"/>
      <c r="U719" s="225"/>
      <c r="V719" s="225"/>
      <c r="W719" s="225"/>
      <c r="X719" s="225"/>
    </row>
    <row r="720" spans="1:24" ht="13.8" x14ac:dyDescent="0.3">
      <c r="A720" s="225"/>
      <c r="B720" s="225"/>
      <c r="C720" s="225"/>
      <c r="D720" s="225"/>
      <c r="E720" s="225"/>
      <c r="F720" s="225"/>
      <c r="G720" s="225"/>
      <c r="H720" s="225"/>
      <c r="I720" s="225"/>
      <c r="J720" s="225"/>
      <c r="K720" s="225"/>
      <c r="L720" s="225"/>
      <c r="M720" s="225"/>
      <c r="N720" s="225"/>
      <c r="O720" s="225"/>
      <c r="P720" s="225"/>
      <c r="Q720" s="225"/>
      <c r="R720" s="225"/>
      <c r="S720" s="225"/>
      <c r="T720" s="225"/>
      <c r="U720" s="225"/>
      <c r="V720" s="225"/>
      <c r="W720" s="225"/>
      <c r="X720" s="225"/>
    </row>
    <row r="721" spans="1:24" ht="13.8" x14ac:dyDescent="0.3">
      <c r="A721" s="225"/>
      <c r="B721" s="225"/>
      <c r="C721" s="225"/>
      <c r="D721" s="225"/>
      <c r="E721" s="225"/>
      <c r="F721" s="225"/>
      <c r="G721" s="225"/>
      <c r="H721" s="225"/>
      <c r="I721" s="225"/>
      <c r="J721" s="225"/>
      <c r="K721" s="225"/>
      <c r="L721" s="225"/>
      <c r="M721" s="225"/>
      <c r="N721" s="225"/>
      <c r="O721" s="225"/>
      <c r="P721" s="225"/>
      <c r="Q721" s="225"/>
      <c r="R721" s="225"/>
      <c r="S721" s="225"/>
      <c r="T721" s="225"/>
      <c r="U721" s="225"/>
      <c r="V721" s="225"/>
      <c r="W721" s="225"/>
      <c r="X721" s="225"/>
    </row>
    <row r="722" spans="1:24" ht="13.8" x14ac:dyDescent="0.3">
      <c r="A722" s="225"/>
      <c r="B722" s="225"/>
      <c r="C722" s="225"/>
      <c r="D722" s="225"/>
      <c r="E722" s="225"/>
      <c r="F722" s="225"/>
      <c r="G722" s="225"/>
      <c r="H722" s="225"/>
      <c r="I722" s="225"/>
      <c r="J722" s="225"/>
      <c r="K722" s="225"/>
      <c r="L722" s="225"/>
      <c r="M722" s="225"/>
      <c r="N722" s="225"/>
      <c r="O722" s="225"/>
      <c r="P722" s="225"/>
      <c r="Q722" s="225"/>
      <c r="R722" s="225"/>
      <c r="S722" s="225"/>
      <c r="T722" s="225"/>
      <c r="U722" s="225"/>
      <c r="V722" s="225"/>
      <c r="W722" s="225"/>
      <c r="X722" s="225"/>
    </row>
    <row r="723" spans="1:24" ht="13.8" x14ac:dyDescent="0.3">
      <c r="A723" s="225"/>
      <c r="B723" s="225"/>
      <c r="C723" s="225"/>
      <c r="D723" s="225"/>
      <c r="E723" s="225"/>
      <c r="F723" s="225"/>
      <c r="G723" s="225"/>
      <c r="H723" s="225"/>
      <c r="I723" s="225"/>
      <c r="J723" s="225"/>
      <c r="K723" s="225"/>
      <c r="L723" s="225"/>
      <c r="M723" s="225"/>
      <c r="N723" s="225"/>
      <c r="O723" s="225"/>
      <c r="P723" s="225"/>
      <c r="Q723" s="225"/>
      <c r="R723" s="225"/>
      <c r="S723" s="225"/>
      <c r="T723" s="225"/>
      <c r="U723" s="225"/>
      <c r="V723" s="225"/>
      <c r="W723" s="225"/>
      <c r="X723" s="225"/>
    </row>
    <row r="724" spans="1:24" ht="13.8" x14ac:dyDescent="0.3">
      <c r="A724" s="225"/>
      <c r="B724" s="225"/>
      <c r="C724" s="225"/>
      <c r="D724" s="225"/>
      <c r="E724" s="225"/>
      <c r="F724" s="225"/>
      <c r="G724" s="225"/>
      <c r="H724" s="225"/>
      <c r="I724" s="225"/>
      <c r="J724" s="225"/>
      <c r="K724" s="225"/>
      <c r="L724" s="225"/>
      <c r="M724" s="225"/>
      <c r="N724" s="225"/>
      <c r="O724" s="225"/>
      <c r="P724" s="225"/>
      <c r="Q724" s="225"/>
      <c r="R724" s="225"/>
      <c r="S724" s="225"/>
      <c r="T724" s="225"/>
      <c r="U724" s="225"/>
      <c r="V724" s="225"/>
      <c r="W724" s="225"/>
      <c r="X724" s="225"/>
    </row>
    <row r="725" spans="1:24" ht="13.8" x14ac:dyDescent="0.3">
      <c r="A725" s="225"/>
      <c r="B725" s="225"/>
      <c r="C725" s="225"/>
      <c r="D725" s="225"/>
      <c r="E725" s="225"/>
      <c r="F725" s="225"/>
      <c r="G725" s="225"/>
      <c r="H725" s="225"/>
      <c r="I725" s="225"/>
      <c r="J725" s="225"/>
      <c r="K725" s="225"/>
      <c r="L725" s="225"/>
      <c r="M725" s="225"/>
      <c r="N725" s="225"/>
      <c r="O725" s="225"/>
      <c r="P725" s="225"/>
      <c r="Q725" s="225"/>
      <c r="R725" s="225"/>
      <c r="S725" s="225"/>
      <c r="T725" s="225"/>
      <c r="U725" s="225"/>
      <c r="V725" s="225"/>
      <c r="W725" s="225"/>
      <c r="X725" s="225"/>
    </row>
    <row r="726" spans="1:24" ht="13.8" x14ac:dyDescent="0.3">
      <c r="A726" s="225"/>
      <c r="B726" s="225"/>
      <c r="C726" s="225"/>
      <c r="D726" s="225"/>
      <c r="E726" s="225"/>
      <c r="F726" s="225"/>
      <c r="G726" s="225"/>
      <c r="H726" s="225"/>
      <c r="I726" s="225"/>
      <c r="J726" s="225"/>
      <c r="K726" s="225"/>
      <c r="L726" s="225"/>
      <c r="M726" s="225"/>
      <c r="N726" s="225"/>
      <c r="O726" s="225"/>
      <c r="P726" s="225"/>
      <c r="Q726" s="225"/>
      <c r="R726" s="225"/>
      <c r="S726" s="225"/>
      <c r="T726" s="225"/>
      <c r="U726" s="225"/>
      <c r="V726" s="225"/>
      <c r="W726" s="225"/>
      <c r="X726" s="225"/>
    </row>
    <row r="727" spans="1:24" ht="13.8" x14ac:dyDescent="0.3">
      <c r="A727" s="225"/>
      <c r="B727" s="225"/>
      <c r="C727" s="225"/>
      <c r="D727" s="225"/>
      <c r="E727" s="225"/>
      <c r="F727" s="225"/>
      <c r="G727" s="225"/>
      <c r="H727" s="225"/>
      <c r="I727" s="225"/>
      <c r="J727" s="225"/>
      <c r="K727" s="225"/>
      <c r="L727" s="225"/>
      <c r="M727" s="225"/>
      <c r="N727" s="225"/>
      <c r="O727" s="225"/>
      <c r="P727" s="225"/>
      <c r="Q727" s="225"/>
      <c r="R727" s="225"/>
      <c r="S727" s="225"/>
      <c r="T727" s="225"/>
      <c r="U727" s="225"/>
      <c r="V727" s="225"/>
      <c r="W727" s="225"/>
      <c r="X727" s="225"/>
    </row>
    <row r="728" spans="1:24" ht="13.8" x14ac:dyDescent="0.3">
      <c r="A728" s="225"/>
      <c r="B728" s="225"/>
      <c r="C728" s="225"/>
      <c r="D728" s="225"/>
      <c r="E728" s="225"/>
      <c r="F728" s="225"/>
      <c r="G728" s="225"/>
      <c r="H728" s="225"/>
      <c r="I728" s="225"/>
      <c r="J728" s="225"/>
      <c r="K728" s="225"/>
      <c r="L728" s="225"/>
      <c r="M728" s="225"/>
      <c r="N728" s="225"/>
      <c r="O728" s="225"/>
      <c r="P728" s="225"/>
      <c r="Q728" s="225"/>
      <c r="R728" s="225"/>
      <c r="S728" s="225"/>
      <c r="T728" s="225"/>
      <c r="U728" s="225"/>
      <c r="V728" s="225"/>
      <c r="W728" s="225"/>
      <c r="X728" s="225"/>
    </row>
    <row r="729" spans="1:24" ht="13.8" x14ac:dyDescent="0.3">
      <c r="A729" s="225"/>
      <c r="B729" s="225"/>
      <c r="C729" s="225"/>
      <c r="D729" s="225"/>
      <c r="E729" s="225"/>
      <c r="F729" s="225"/>
      <c r="G729" s="225"/>
      <c r="H729" s="225"/>
      <c r="I729" s="225"/>
      <c r="J729" s="225"/>
      <c r="K729" s="225"/>
      <c r="L729" s="225"/>
      <c r="M729" s="225"/>
      <c r="N729" s="225"/>
      <c r="O729" s="225"/>
      <c r="P729" s="225"/>
      <c r="Q729" s="225"/>
      <c r="R729" s="225"/>
      <c r="S729" s="225"/>
      <c r="T729" s="225"/>
      <c r="U729" s="225"/>
      <c r="V729" s="225"/>
      <c r="W729" s="225"/>
      <c r="X729" s="225"/>
    </row>
    <row r="730" spans="1:24" ht="13.8" x14ac:dyDescent="0.3">
      <c r="A730" s="225"/>
      <c r="B730" s="225"/>
      <c r="C730" s="225"/>
      <c r="D730" s="225"/>
      <c r="E730" s="225"/>
      <c r="F730" s="225"/>
      <c r="G730" s="225"/>
      <c r="H730" s="225"/>
      <c r="I730" s="225"/>
      <c r="J730" s="225"/>
      <c r="K730" s="225"/>
      <c r="L730" s="225"/>
      <c r="M730" s="225"/>
      <c r="N730" s="225"/>
      <c r="O730" s="225"/>
      <c r="P730" s="225"/>
      <c r="Q730" s="225"/>
      <c r="R730" s="225"/>
      <c r="S730" s="225"/>
      <c r="T730" s="225"/>
      <c r="U730" s="225"/>
      <c r="V730" s="225"/>
      <c r="W730" s="225"/>
      <c r="X730" s="225"/>
    </row>
    <row r="731" spans="1:24" ht="13.8" x14ac:dyDescent="0.3">
      <c r="A731" s="225"/>
      <c r="B731" s="225"/>
      <c r="C731" s="225"/>
      <c r="D731" s="225"/>
      <c r="E731" s="225"/>
      <c r="F731" s="225"/>
      <c r="G731" s="225"/>
      <c r="H731" s="225"/>
      <c r="I731" s="225"/>
      <c r="J731" s="225"/>
      <c r="K731" s="225"/>
      <c r="L731" s="225"/>
      <c r="M731" s="225"/>
      <c r="N731" s="225"/>
      <c r="O731" s="225"/>
      <c r="P731" s="225"/>
      <c r="Q731" s="225"/>
      <c r="R731" s="225"/>
      <c r="S731" s="225"/>
      <c r="T731" s="225"/>
      <c r="U731" s="225"/>
      <c r="V731" s="225"/>
      <c r="W731" s="225"/>
      <c r="X731" s="225"/>
    </row>
    <row r="732" spans="1:24" ht="13.8" x14ac:dyDescent="0.3">
      <c r="A732" s="225"/>
      <c r="B732" s="225"/>
      <c r="C732" s="225"/>
      <c r="D732" s="225"/>
      <c r="E732" s="225"/>
      <c r="F732" s="225"/>
      <c r="G732" s="225"/>
      <c r="H732" s="225"/>
      <c r="I732" s="225"/>
      <c r="J732" s="225"/>
      <c r="K732" s="225"/>
      <c r="L732" s="225"/>
      <c r="M732" s="225"/>
      <c r="N732" s="225"/>
      <c r="O732" s="225"/>
      <c r="P732" s="225"/>
      <c r="Q732" s="225"/>
      <c r="R732" s="225"/>
      <c r="S732" s="225"/>
      <c r="T732" s="225"/>
      <c r="U732" s="225"/>
      <c r="V732" s="225"/>
      <c r="W732" s="225"/>
      <c r="X732" s="225"/>
    </row>
    <row r="733" spans="1:24" ht="13.8" x14ac:dyDescent="0.3">
      <c r="A733" s="225"/>
      <c r="B733" s="225"/>
      <c r="C733" s="225"/>
      <c r="D733" s="225"/>
      <c r="E733" s="225"/>
      <c r="F733" s="225"/>
      <c r="G733" s="225"/>
      <c r="H733" s="225"/>
      <c r="I733" s="225"/>
      <c r="J733" s="225"/>
      <c r="K733" s="225"/>
      <c r="L733" s="225"/>
      <c r="M733" s="225"/>
      <c r="N733" s="225"/>
      <c r="O733" s="225"/>
      <c r="P733" s="225"/>
      <c r="Q733" s="225"/>
      <c r="R733" s="225"/>
      <c r="S733" s="225"/>
      <c r="T733" s="225"/>
      <c r="U733" s="225"/>
      <c r="V733" s="225"/>
      <c r="W733" s="225"/>
      <c r="X733" s="225"/>
    </row>
    <row r="734" spans="1:24" ht="13.8" x14ac:dyDescent="0.3">
      <c r="A734" s="225"/>
      <c r="B734" s="225"/>
      <c r="C734" s="225"/>
      <c r="D734" s="225"/>
      <c r="E734" s="225"/>
      <c r="F734" s="225"/>
      <c r="G734" s="225"/>
      <c r="H734" s="225"/>
      <c r="I734" s="225"/>
      <c r="J734" s="225"/>
      <c r="K734" s="225"/>
      <c r="L734" s="225"/>
      <c r="M734" s="225"/>
      <c r="N734" s="225"/>
      <c r="O734" s="225"/>
      <c r="P734" s="225"/>
      <c r="Q734" s="225"/>
      <c r="R734" s="225"/>
      <c r="S734" s="225"/>
      <c r="T734" s="225"/>
      <c r="U734" s="225"/>
      <c r="V734" s="225"/>
      <c r="W734" s="225"/>
      <c r="X734" s="225"/>
    </row>
    <row r="735" spans="1:24" ht="13.8" x14ac:dyDescent="0.3">
      <c r="A735" s="225"/>
      <c r="B735" s="225"/>
      <c r="C735" s="225"/>
      <c r="D735" s="225"/>
      <c r="E735" s="225"/>
      <c r="F735" s="225"/>
      <c r="G735" s="225"/>
      <c r="H735" s="225"/>
      <c r="I735" s="225"/>
      <c r="J735" s="225"/>
      <c r="K735" s="225"/>
      <c r="L735" s="225"/>
      <c r="M735" s="225"/>
      <c r="N735" s="225"/>
      <c r="O735" s="225"/>
      <c r="P735" s="225"/>
      <c r="Q735" s="225"/>
      <c r="R735" s="225"/>
      <c r="S735" s="225"/>
      <c r="T735" s="225"/>
      <c r="U735" s="225"/>
      <c r="V735" s="225"/>
      <c r="W735" s="225"/>
      <c r="X735" s="225"/>
    </row>
    <row r="736" spans="1:24" ht="13.8" x14ac:dyDescent="0.3">
      <c r="A736" s="225"/>
      <c r="B736" s="225"/>
      <c r="C736" s="225"/>
      <c r="D736" s="225"/>
      <c r="E736" s="225"/>
      <c r="F736" s="225"/>
      <c r="G736" s="225"/>
      <c r="H736" s="225"/>
      <c r="I736" s="225"/>
      <c r="J736" s="225"/>
      <c r="K736" s="225"/>
      <c r="L736" s="225"/>
      <c r="M736" s="225"/>
      <c r="N736" s="225"/>
      <c r="O736" s="225"/>
      <c r="P736" s="225"/>
      <c r="Q736" s="225"/>
      <c r="R736" s="225"/>
      <c r="S736" s="225"/>
      <c r="T736" s="225"/>
      <c r="U736" s="225"/>
      <c r="V736" s="225"/>
      <c r="W736" s="225"/>
      <c r="X736" s="225"/>
    </row>
    <row r="737" spans="1:24" ht="13.8" x14ac:dyDescent="0.3">
      <c r="A737" s="225"/>
      <c r="B737" s="225"/>
      <c r="C737" s="225"/>
      <c r="D737" s="225"/>
      <c r="E737" s="225"/>
      <c r="F737" s="225"/>
      <c r="G737" s="225"/>
      <c r="H737" s="225"/>
      <c r="I737" s="225"/>
      <c r="J737" s="225"/>
      <c r="K737" s="225"/>
      <c r="L737" s="225"/>
      <c r="M737" s="225"/>
      <c r="N737" s="225"/>
      <c r="O737" s="225"/>
      <c r="P737" s="225"/>
      <c r="Q737" s="225"/>
      <c r="R737" s="225"/>
      <c r="S737" s="225"/>
      <c r="T737" s="225"/>
      <c r="U737" s="225"/>
      <c r="V737" s="225"/>
      <c r="W737" s="225"/>
      <c r="X737" s="225"/>
    </row>
    <row r="738" spans="1:24" ht="13.8" x14ac:dyDescent="0.3">
      <c r="A738" s="225"/>
      <c r="B738" s="225"/>
      <c r="C738" s="225"/>
      <c r="D738" s="225"/>
      <c r="E738" s="225"/>
      <c r="F738" s="225"/>
      <c r="G738" s="225"/>
      <c r="H738" s="225"/>
      <c r="I738" s="225"/>
      <c r="J738" s="225"/>
      <c r="K738" s="225"/>
      <c r="L738" s="225"/>
      <c r="M738" s="225"/>
      <c r="N738" s="225"/>
      <c r="O738" s="225"/>
      <c r="P738" s="225"/>
      <c r="Q738" s="225"/>
      <c r="R738" s="225"/>
      <c r="S738" s="225"/>
      <c r="T738" s="225"/>
      <c r="U738" s="225"/>
      <c r="V738" s="225"/>
      <c r="W738" s="225"/>
      <c r="X738" s="225"/>
    </row>
    <row r="739" spans="1:24" ht="13.8" x14ac:dyDescent="0.3">
      <c r="A739" s="225"/>
      <c r="B739" s="225"/>
      <c r="C739" s="225"/>
      <c r="D739" s="225"/>
      <c r="E739" s="225"/>
      <c r="F739" s="225"/>
      <c r="G739" s="225"/>
      <c r="H739" s="225"/>
      <c r="I739" s="225"/>
      <c r="J739" s="225"/>
      <c r="K739" s="225"/>
      <c r="L739" s="225"/>
      <c r="M739" s="225"/>
      <c r="N739" s="225"/>
      <c r="O739" s="225"/>
      <c r="P739" s="225"/>
      <c r="Q739" s="225"/>
      <c r="R739" s="225"/>
      <c r="S739" s="225"/>
      <c r="T739" s="225"/>
      <c r="U739" s="225"/>
      <c r="V739" s="225"/>
      <c r="W739" s="225"/>
      <c r="X739" s="225"/>
    </row>
    <row r="740" spans="1:24" ht="13.8" x14ac:dyDescent="0.3">
      <c r="A740" s="225"/>
      <c r="B740" s="225"/>
      <c r="C740" s="225"/>
      <c r="D740" s="225"/>
      <c r="E740" s="225"/>
      <c r="F740" s="225"/>
      <c r="G740" s="225"/>
      <c r="H740" s="225"/>
      <c r="I740" s="225"/>
      <c r="J740" s="225"/>
      <c r="K740" s="225"/>
      <c r="L740" s="225"/>
      <c r="M740" s="225"/>
      <c r="N740" s="225"/>
      <c r="O740" s="225"/>
      <c r="P740" s="225"/>
      <c r="Q740" s="225"/>
      <c r="R740" s="225"/>
      <c r="S740" s="225"/>
      <c r="T740" s="225"/>
      <c r="U740" s="225"/>
      <c r="V740" s="225"/>
      <c r="W740" s="225"/>
      <c r="X740" s="225"/>
    </row>
    <row r="741" spans="1:24" ht="13.8" x14ac:dyDescent="0.3">
      <c r="A741" s="225"/>
      <c r="B741" s="225"/>
      <c r="C741" s="225"/>
      <c r="D741" s="225"/>
      <c r="E741" s="225"/>
      <c r="F741" s="225"/>
      <c r="G741" s="225"/>
      <c r="H741" s="225"/>
      <c r="I741" s="225"/>
      <c r="J741" s="225"/>
      <c r="K741" s="225"/>
      <c r="L741" s="225"/>
      <c r="M741" s="225"/>
      <c r="N741" s="225"/>
      <c r="O741" s="225"/>
      <c r="P741" s="225"/>
      <c r="Q741" s="225"/>
      <c r="R741" s="225"/>
      <c r="S741" s="225"/>
      <c r="T741" s="225"/>
      <c r="U741" s="225"/>
      <c r="V741" s="225"/>
      <c r="W741" s="225"/>
      <c r="X741" s="225"/>
    </row>
    <row r="742" spans="1:24" ht="13.8" x14ac:dyDescent="0.3">
      <c r="A742" s="225"/>
      <c r="B742" s="225"/>
      <c r="C742" s="225"/>
      <c r="D742" s="225"/>
      <c r="E742" s="225"/>
      <c r="F742" s="225"/>
      <c r="G742" s="225"/>
      <c r="H742" s="225"/>
      <c r="I742" s="225"/>
      <c r="J742" s="225"/>
      <c r="K742" s="225"/>
      <c r="L742" s="225"/>
      <c r="M742" s="225"/>
      <c r="N742" s="225"/>
      <c r="O742" s="225"/>
      <c r="P742" s="225"/>
      <c r="Q742" s="225"/>
      <c r="R742" s="225"/>
      <c r="S742" s="225"/>
      <c r="T742" s="225"/>
      <c r="U742" s="225"/>
      <c r="V742" s="225"/>
      <c r="W742" s="225"/>
      <c r="X742" s="225"/>
    </row>
    <row r="743" spans="1:24" ht="13.8" x14ac:dyDescent="0.3">
      <c r="A743" s="225"/>
      <c r="B743" s="225"/>
      <c r="C743" s="225"/>
      <c r="D743" s="225"/>
      <c r="E743" s="225"/>
      <c r="F743" s="225"/>
      <c r="G743" s="225"/>
      <c r="H743" s="225"/>
      <c r="I743" s="225"/>
      <c r="J743" s="225"/>
      <c r="K743" s="225"/>
      <c r="L743" s="225"/>
      <c r="M743" s="225"/>
      <c r="N743" s="225"/>
      <c r="O743" s="225"/>
      <c r="P743" s="225"/>
      <c r="Q743" s="225"/>
      <c r="R743" s="225"/>
      <c r="S743" s="225"/>
      <c r="T743" s="225"/>
      <c r="U743" s="225"/>
      <c r="V743" s="225"/>
      <c r="W743" s="225"/>
      <c r="X743" s="225"/>
    </row>
    <row r="744" spans="1:24" ht="13.8" x14ac:dyDescent="0.3">
      <c r="A744" s="225"/>
      <c r="B744" s="225"/>
      <c r="C744" s="225"/>
      <c r="D744" s="225"/>
      <c r="E744" s="225"/>
      <c r="F744" s="225"/>
      <c r="G744" s="225"/>
      <c r="H744" s="225"/>
      <c r="I744" s="225"/>
      <c r="J744" s="225"/>
      <c r="K744" s="225"/>
      <c r="L744" s="225"/>
      <c r="M744" s="225"/>
      <c r="N744" s="225"/>
      <c r="O744" s="225"/>
      <c r="P744" s="225"/>
      <c r="Q744" s="225"/>
      <c r="R744" s="225"/>
      <c r="S744" s="225"/>
      <c r="T744" s="225"/>
      <c r="U744" s="225"/>
      <c r="V744" s="225"/>
      <c r="W744" s="225"/>
      <c r="X744" s="225"/>
    </row>
    <row r="745" spans="1:24" ht="13.8" x14ac:dyDescent="0.3">
      <c r="A745" s="225"/>
      <c r="B745" s="225"/>
      <c r="C745" s="225"/>
      <c r="D745" s="225"/>
      <c r="E745" s="225"/>
      <c r="F745" s="225"/>
      <c r="G745" s="225"/>
      <c r="H745" s="225"/>
      <c r="I745" s="225"/>
      <c r="J745" s="225"/>
      <c r="K745" s="225"/>
      <c r="L745" s="225"/>
      <c r="M745" s="225"/>
      <c r="N745" s="225"/>
      <c r="O745" s="225"/>
      <c r="P745" s="225"/>
      <c r="Q745" s="225"/>
      <c r="R745" s="225"/>
      <c r="S745" s="225"/>
      <c r="T745" s="225"/>
      <c r="U745" s="225"/>
      <c r="V745" s="225"/>
      <c r="W745" s="225"/>
      <c r="X745" s="225"/>
    </row>
    <row r="746" spans="1:24" ht="13.8" x14ac:dyDescent="0.3">
      <c r="A746" s="225"/>
      <c r="B746" s="225"/>
      <c r="C746" s="225"/>
      <c r="D746" s="225"/>
      <c r="E746" s="225"/>
      <c r="F746" s="225"/>
      <c r="G746" s="225"/>
      <c r="H746" s="225"/>
      <c r="I746" s="225"/>
      <c r="J746" s="225"/>
      <c r="K746" s="225"/>
      <c r="L746" s="225"/>
      <c r="M746" s="225"/>
      <c r="N746" s="225"/>
      <c r="O746" s="225"/>
      <c r="P746" s="225"/>
      <c r="Q746" s="225"/>
      <c r="R746" s="225"/>
      <c r="S746" s="225"/>
      <c r="T746" s="225"/>
      <c r="U746" s="225"/>
      <c r="V746" s="225"/>
      <c r="W746" s="225"/>
      <c r="X746" s="225"/>
    </row>
    <row r="747" spans="1:24" ht="13.8" x14ac:dyDescent="0.3">
      <c r="A747" s="225"/>
      <c r="B747" s="225"/>
      <c r="C747" s="225"/>
      <c r="D747" s="225"/>
      <c r="E747" s="225"/>
      <c r="F747" s="225"/>
      <c r="G747" s="225"/>
      <c r="H747" s="225"/>
      <c r="I747" s="225"/>
      <c r="J747" s="225"/>
      <c r="K747" s="225"/>
      <c r="L747" s="225"/>
      <c r="M747" s="225"/>
      <c r="N747" s="225"/>
      <c r="O747" s="225"/>
      <c r="P747" s="225"/>
      <c r="Q747" s="225"/>
      <c r="R747" s="225"/>
      <c r="S747" s="225"/>
      <c r="T747" s="225"/>
      <c r="U747" s="225"/>
      <c r="V747" s="225"/>
      <c r="W747" s="225"/>
      <c r="X747" s="225"/>
    </row>
    <row r="748" spans="1:24" ht="13.8" x14ac:dyDescent="0.3">
      <c r="A748" s="225"/>
      <c r="B748" s="225"/>
      <c r="C748" s="225"/>
      <c r="D748" s="225"/>
      <c r="E748" s="225"/>
      <c r="F748" s="225"/>
      <c r="G748" s="225"/>
      <c r="H748" s="225"/>
      <c r="I748" s="225"/>
      <c r="J748" s="225"/>
      <c r="K748" s="225"/>
      <c r="L748" s="225"/>
      <c r="M748" s="225"/>
      <c r="N748" s="225"/>
      <c r="O748" s="225"/>
      <c r="P748" s="225"/>
      <c r="Q748" s="225"/>
      <c r="R748" s="225"/>
      <c r="S748" s="225"/>
      <c r="T748" s="225"/>
      <c r="U748" s="225"/>
      <c r="V748" s="225"/>
      <c r="W748" s="225"/>
      <c r="X748" s="225"/>
    </row>
    <row r="749" spans="1:24" ht="13.8" x14ac:dyDescent="0.3">
      <c r="A749" s="225"/>
      <c r="B749" s="225"/>
      <c r="C749" s="225"/>
      <c r="D749" s="225"/>
      <c r="E749" s="225"/>
      <c r="F749" s="225"/>
      <c r="G749" s="225"/>
      <c r="H749" s="225"/>
      <c r="I749" s="225"/>
      <c r="J749" s="225"/>
      <c r="K749" s="225"/>
      <c r="L749" s="225"/>
      <c r="M749" s="225"/>
      <c r="N749" s="225"/>
      <c r="O749" s="225"/>
      <c r="P749" s="225"/>
      <c r="Q749" s="225"/>
      <c r="R749" s="225"/>
      <c r="S749" s="225"/>
      <c r="T749" s="225"/>
      <c r="U749" s="225"/>
      <c r="V749" s="225"/>
      <c r="W749" s="225"/>
      <c r="X749" s="225"/>
    </row>
    <row r="750" spans="1:24" ht="13.8" x14ac:dyDescent="0.3">
      <c r="A750" s="225"/>
      <c r="B750" s="225"/>
      <c r="C750" s="225"/>
      <c r="D750" s="225"/>
      <c r="E750" s="225"/>
      <c r="F750" s="225"/>
      <c r="G750" s="225"/>
      <c r="H750" s="225"/>
      <c r="I750" s="225"/>
      <c r="J750" s="225"/>
      <c r="K750" s="225"/>
      <c r="L750" s="225"/>
      <c r="M750" s="225"/>
      <c r="N750" s="225"/>
      <c r="O750" s="225"/>
      <c r="P750" s="225"/>
      <c r="Q750" s="225"/>
      <c r="R750" s="225"/>
      <c r="S750" s="225"/>
      <c r="T750" s="225"/>
      <c r="U750" s="225"/>
      <c r="V750" s="225"/>
      <c r="W750" s="225"/>
      <c r="X750" s="225"/>
    </row>
    <row r="751" spans="1:24" ht="13.8" x14ac:dyDescent="0.3">
      <c r="A751" s="225"/>
      <c r="B751" s="225"/>
      <c r="C751" s="225"/>
      <c r="D751" s="225"/>
      <c r="E751" s="225"/>
      <c r="F751" s="225"/>
      <c r="G751" s="225"/>
      <c r="H751" s="225"/>
      <c r="I751" s="225"/>
      <c r="J751" s="225"/>
      <c r="K751" s="225"/>
      <c r="L751" s="225"/>
      <c r="M751" s="225"/>
      <c r="N751" s="225"/>
      <c r="O751" s="225"/>
      <c r="P751" s="225"/>
      <c r="Q751" s="225"/>
      <c r="R751" s="225"/>
      <c r="S751" s="225"/>
      <c r="T751" s="225"/>
      <c r="U751" s="225"/>
      <c r="V751" s="225"/>
      <c r="W751" s="225"/>
      <c r="X751" s="225"/>
    </row>
    <row r="752" spans="1:24" ht="13.8" x14ac:dyDescent="0.3">
      <c r="A752" s="225"/>
      <c r="B752" s="225"/>
      <c r="C752" s="225"/>
      <c r="D752" s="225"/>
      <c r="E752" s="225"/>
      <c r="F752" s="225"/>
      <c r="G752" s="225"/>
      <c r="H752" s="225"/>
      <c r="I752" s="225"/>
      <c r="J752" s="225"/>
      <c r="K752" s="225"/>
      <c r="L752" s="225"/>
      <c r="M752" s="225"/>
      <c r="N752" s="225"/>
      <c r="O752" s="225"/>
      <c r="P752" s="225"/>
      <c r="Q752" s="225"/>
      <c r="R752" s="225"/>
      <c r="S752" s="225"/>
      <c r="T752" s="225"/>
      <c r="U752" s="225"/>
      <c r="V752" s="225"/>
      <c r="W752" s="225"/>
      <c r="X752" s="225"/>
    </row>
    <row r="753" spans="1:24" ht="13.8" x14ac:dyDescent="0.3">
      <c r="A753" s="225"/>
      <c r="B753" s="225"/>
      <c r="C753" s="225"/>
      <c r="D753" s="225"/>
      <c r="E753" s="225"/>
      <c r="F753" s="225"/>
      <c r="G753" s="225"/>
      <c r="H753" s="225"/>
      <c r="I753" s="225"/>
      <c r="J753" s="225"/>
      <c r="K753" s="225"/>
      <c r="L753" s="225"/>
      <c r="M753" s="225"/>
      <c r="N753" s="225"/>
      <c r="O753" s="225"/>
      <c r="P753" s="225"/>
      <c r="Q753" s="225"/>
      <c r="R753" s="225"/>
      <c r="S753" s="225"/>
      <c r="T753" s="225"/>
      <c r="U753" s="225"/>
      <c r="V753" s="225"/>
      <c r="W753" s="225"/>
      <c r="X753" s="225"/>
    </row>
    <row r="754" spans="1:24" ht="13.8" x14ac:dyDescent="0.3">
      <c r="A754" s="225"/>
      <c r="B754" s="225"/>
      <c r="C754" s="225"/>
      <c r="D754" s="225"/>
      <c r="E754" s="225"/>
      <c r="F754" s="225"/>
      <c r="G754" s="225"/>
      <c r="H754" s="225"/>
      <c r="I754" s="225"/>
      <c r="J754" s="225"/>
      <c r="K754" s="225"/>
      <c r="L754" s="225"/>
      <c r="M754" s="225"/>
      <c r="N754" s="225"/>
      <c r="O754" s="225"/>
      <c r="P754" s="225"/>
      <c r="Q754" s="225"/>
      <c r="R754" s="225"/>
      <c r="S754" s="225"/>
      <c r="T754" s="225"/>
      <c r="U754" s="225"/>
      <c r="V754" s="225"/>
      <c r="W754" s="225"/>
      <c r="X754" s="225"/>
    </row>
    <row r="755" spans="1:24" ht="13.8" x14ac:dyDescent="0.3">
      <c r="A755" s="225"/>
      <c r="B755" s="225"/>
      <c r="C755" s="225"/>
      <c r="D755" s="225"/>
      <c r="E755" s="225"/>
      <c r="F755" s="225"/>
      <c r="G755" s="225"/>
      <c r="H755" s="225"/>
      <c r="I755" s="225"/>
      <c r="J755" s="225"/>
      <c r="K755" s="225"/>
      <c r="L755" s="225"/>
      <c r="M755" s="225"/>
      <c r="N755" s="225"/>
      <c r="O755" s="225"/>
      <c r="P755" s="225"/>
      <c r="Q755" s="225"/>
      <c r="R755" s="225"/>
      <c r="S755" s="225"/>
      <c r="T755" s="225"/>
      <c r="U755" s="225"/>
      <c r="V755" s="225"/>
      <c r="W755" s="225"/>
      <c r="X755" s="225"/>
    </row>
    <row r="756" spans="1:24" ht="13.8" x14ac:dyDescent="0.3">
      <c r="A756" s="225"/>
      <c r="B756" s="225"/>
      <c r="C756" s="225"/>
      <c r="D756" s="225"/>
      <c r="E756" s="225"/>
      <c r="F756" s="225"/>
      <c r="G756" s="225"/>
      <c r="H756" s="225"/>
      <c r="I756" s="225"/>
      <c r="J756" s="225"/>
      <c r="K756" s="225"/>
      <c r="L756" s="225"/>
      <c r="M756" s="225"/>
      <c r="N756" s="225"/>
      <c r="O756" s="225"/>
      <c r="P756" s="225"/>
      <c r="Q756" s="225"/>
      <c r="R756" s="225"/>
      <c r="S756" s="225"/>
      <c r="T756" s="225"/>
      <c r="U756" s="225"/>
      <c r="V756" s="225"/>
      <c r="W756" s="225"/>
      <c r="X756" s="225"/>
    </row>
    <row r="757" spans="1:24" ht="13.8" x14ac:dyDescent="0.3">
      <c r="A757" s="225"/>
      <c r="B757" s="225"/>
      <c r="C757" s="225"/>
      <c r="D757" s="225"/>
      <c r="E757" s="225"/>
      <c r="F757" s="225"/>
      <c r="G757" s="225"/>
      <c r="H757" s="225"/>
      <c r="I757" s="225"/>
      <c r="J757" s="225"/>
      <c r="K757" s="225"/>
      <c r="L757" s="225"/>
      <c r="M757" s="225"/>
      <c r="N757" s="225"/>
      <c r="O757" s="225"/>
      <c r="P757" s="225"/>
      <c r="Q757" s="225"/>
      <c r="R757" s="225"/>
      <c r="S757" s="225"/>
      <c r="T757" s="225"/>
      <c r="U757" s="225"/>
      <c r="V757" s="225"/>
      <c r="W757" s="225"/>
      <c r="X757" s="225"/>
    </row>
    <row r="758" spans="1:24" ht="13.8" x14ac:dyDescent="0.3">
      <c r="A758" s="225"/>
      <c r="B758" s="225"/>
      <c r="C758" s="225"/>
      <c r="D758" s="225"/>
      <c r="E758" s="225"/>
      <c r="F758" s="225"/>
      <c r="G758" s="225"/>
      <c r="H758" s="225"/>
      <c r="I758" s="225"/>
      <c r="J758" s="225"/>
      <c r="K758" s="225"/>
      <c r="L758" s="225"/>
      <c r="M758" s="225"/>
      <c r="N758" s="225"/>
      <c r="O758" s="225"/>
      <c r="P758" s="225"/>
      <c r="Q758" s="225"/>
      <c r="R758" s="225"/>
      <c r="S758" s="225"/>
      <c r="T758" s="225"/>
      <c r="U758" s="225"/>
      <c r="V758" s="225"/>
      <c r="W758" s="225"/>
      <c r="X758" s="225"/>
    </row>
    <row r="759" spans="1:24" ht="13.8" x14ac:dyDescent="0.3">
      <c r="A759" s="225"/>
      <c r="B759" s="225"/>
      <c r="C759" s="225"/>
      <c r="D759" s="225"/>
      <c r="E759" s="225"/>
      <c r="F759" s="225"/>
      <c r="G759" s="225"/>
      <c r="H759" s="225"/>
      <c r="I759" s="225"/>
      <c r="J759" s="225"/>
      <c r="K759" s="225"/>
      <c r="L759" s="225"/>
      <c r="M759" s="225"/>
      <c r="N759" s="225"/>
      <c r="O759" s="225"/>
      <c r="P759" s="225"/>
      <c r="Q759" s="225"/>
      <c r="R759" s="225"/>
      <c r="S759" s="225"/>
      <c r="T759" s="225"/>
      <c r="U759" s="225"/>
      <c r="V759" s="225"/>
      <c r="W759" s="225"/>
      <c r="X759" s="225"/>
    </row>
    <row r="760" spans="1:24" ht="13.8" x14ac:dyDescent="0.3">
      <c r="A760" s="225"/>
      <c r="B760" s="225"/>
      <c r="C760" s="225"/>
      <c r="D760" s="225"/>
      <c r="E760" s="225"/>
      <c r="F760" s="225"/>
      <c r="G760" s="225"/>
      <c r="H760" s="225"/>
      <c r="I760" s="225"/>
      <c r="J760" s="225"/>
      <c r="K760" s="225"/>
      <c r="L760" s="225"/>
      <c r="M760" s="225"/>
      <c r="N760" s="225"/>
      <c r="O760" s="225"/>
      <c r="P760" s="225"/>
      <c r="Q760" s="225"/>
      <c r="R760" s="225"/>
      <c r="S760" s="225"/>
      <c r="T760" s="225"/>
      <c r="U760" s="225"/>
      <c r="V760" s="225"/>
      <c r="W760" s="225"/>
      <c r="X760" s="225"/>
    </row>
    <row r="761" spans="1:24" ht="13.8" x14ac:dyDescent="0.3">
      <c r="A761" s="225"/>
      <c r="B761" s="225"/>
      <c r="C761" s="225"/>
      <c r="D761" s="225"/>
      <c r="E761" s="225"/>
      <c r="F761" s="225"/>
      <c r="G761" s="225"/>
      <c r="H761" s="225"/>
      <c r="I761" s="225"/>
      <c r="J761" s="225"/>
      <c r="K761" s="225"/>
      <c r="L761" s="225"/>
      <c r="M761" s="225"/>
      <c r="N761" s="225"/>
      <c r="O761" s="225"/>
      <c r="P761" s="225"/>
      <c r="Q761" s="225"/>
      <c r="R761" s="225"/>
      <c r="S761" s="225"/>
      <c r="T761" s="225"/>
      <c r="U761" s="225"/>
      <c r="V761" s="225"/>
      <c r="W761" s="225"/>
      <c r="X761" s="225"/>
    </row>
    <row r="762" spans="1:24" ht="13.8" x14ac:dyDescent="0.3">
      <c r="A762" s="225"/>
      <c r="B762" s="225"/>
      <c r="C762" s="225"/>
      <c r="D762" s="225"/>
      <c r="E762" s="225"/>
      <c r="F762" s="225"/>
      <c r="G762" s="225"/>
      <c r="H762" s="225"/>
      <c r="I762" s="225"/>
      <c r="J762" s="225"/>
      <c r="K762" s="225"/>
      <c r="L762" s="225"/>
      <c r="M762" s="225"/>
      <c r="N762" s="225"/>
      <c r="O762" s="225"/>
      <c r="P762" s="225"/>
      <c r="Q762" s="225"/>
      <c r="R762" s="225"/>
      <c r="S762" s="225"/>
      <c r="T762" s="225"/>
      <c r="U762" s="225"/>
      <c r="V762" s="225"/>
      <c r="W762" s="225"/>
      <c r="X762" s="225"/>
    </row>
    <row r="763" spans="1:24" ht="13.8" x14ac:dyDescent="0.3">
      <c r="A763" s="225"/>
      <c r="B763" s="225"/>
      <c r="C763" s="225"/>
      <c r="D763" s="225"/>
      <c r="E763" s="225"/>
      <c r="F763" s="225"/>
      <c r="G763" s="225"/>
      <c r="H763" s="225"/>
      <c r="I763" s="225"/>
      <c r="J763" s="225"/>
      <c r="K763" s="225"/>
      <c r="L763" s="225"/>
      <c r="M763" s="225"/>
      <c r="N763" s="225"/>
      <c r="O763" s="225"/>
      <c r="P763" s="225"/>
      <c r="Q763" s="225"/>
      <c r="R763" s="225"/>
      <c r="S763" s="225"/>
      <c r="T763" s="225"/>
      <c r="U763" s="225"/>
      <c r="V763" s="225"/>
      <c r="W763" s="225"/>
      <c r="X763" s="225"/>
    </row>
    <row r="764" spans="1:24" ht="13.8" x14ac:dyDescent="0.3">
      <c r="A764" s="225"/>
      <c r="B764" s="225"/>
      <c r="C764" s="225"/>
      <c r="D764" s="225"/>
      <c r="E764" s="225"/>
      <c r="F764" s="225"/>
      <c r="G764" s="225"/>
      <c r="H764" s="225"/>
      <c r="I764" s="225"/>
      <c r="J764" s="225"/>
      <c r="K764" s="225"/>
      <c r="L764" s="225"/>
      <c r="M764" s="225"/>
      <c r="N764" s="225"/>
      <c r="O764" s="225"/>
      <c r="P764" s="225"/>
      <c r="Q764" s="225"/>
      <c r="R764" s="225"/>
      <c r="S764" s="225"/>
      <c r="T764" s="225"/>
      <c r="U764" s="225"/>
      <c r="V764" s="225"/>
      <c r="W764" s="225"/>
      <c r="X764" s="225"/>
    </row>
    <row r="765" spans="1:24" ht="13.8" x14ac:dyDescent="0.3">
      <c r="A765" s="225"/>
      <c r="B765" s="225"/>
      <c r="C765" s="225"/>
      <c r="D765" s="225"/>
      <c r="E765" s="225"/>
      <c r="F765" s="225"/>
      <c r="G765" s="225"/>
      <c r="H765" s="225"/>
      <c r="I765" s="225"/>
      <c r="J765" s="225"/>
      <c r="K765" s="225"/>
      <c r="L765" s="225"/>
      <c r="M765" s="225"/>
      <c r="N765" s="225"/>
      <c r="O765" s="225"/>
      <c r="P765" s="225"/>
      <c r="Q765" s="225"/>
      <c r="R765" s="225"/>
      <c r="S765" s="225"/>
      <c r="T765" s="225"/>
      <c r="U765" s="225"/>
      <c r="V765" s="225"/>
      <c r="W765" s="225"/>
      <c r="X765" s="225"/>
    </row>
    <row r="766" spans="1:24" ht="13.8" x14ac:dyDescent="0.3">
      <c r="A766" s="225"/>
      <c r="B766" s="225"/>
      <c r="C766" s="225"/>
      <c r="D766" s="225"/>
      <c r="E766" s="225"/>
      <c r="F766" s="225"/>
      <c r="G766" s="225"/>
      <c r="H766" s="225"/>
      <c r="I766" s="225"/>
      <c r="J766" s="225"/>
      <c r="K766" s="225"/>
      <c r="L766" s="225"/>
      <c r="M766" s="225"/>
      <c r="N766" s="225"/>
      <c r="O766" s="225"/>
      <c r="P766" s="225"/>
      <c r="Q766" s="225"/>
      <c r="R766" s="225"/>
      <c r="S766" s="225"/>
      <c r="T766" s="225"/>
      <c r="U766" s="225"/>
      <c r="V766" s="225"/>
      <c r="W766" s="225"/>
      <c r="X766" s="225"/>
    </row>
    <row r="767" spans="1:24" ht="13.8" x14ac:dyDescent="0.3">
      <c r="A767" s="225"/>
      <c r="B767" s="225"/>
      <c r="C767" s="225"/>
      <c r="D767" s="225"/>
      <c r="E767" s="225"/>
      <c r="F767" s="225"/>
      <c r="G767" s="225"/>
      <c r="H767" s="225"/>
      <c r="I767" s="225"/>
      <c r="J767" s="225"/>
      <c r="K767" s="225"/>
      <c r="L767" s="225"/>
      <c r="M767" s="225"/>
      <c r="N767" s="225"/>
      <c r="O767" s="225"/>
      <c r="P767" s="225"/>
      <c r="Q767" s="225"/>
      <c r="R767" s="225"/>
      <c r="S767" s="225"/>
      <c r="T767" s="225"/>
      <c r="U767" s="225"/>
      <c r="V767" s="225"/>
      <c r="W767" s="225"/>
      <c r="X767" s="225"/>
    </row>
    <row r="768" spans="1:24" ht="13.8" x14ac:dyDescent="0.3">
      <c r="A768" s="225"/>
      <c r="B768" s="225"/>
      <c r="C768" s="225"/>
      <c r="D768" s="225"/>
      <c r="E768" s="225"/>
      <c r="F768" s="225"/>
      <c r="G768" s="225"/>
      <c r="H768" s="225"/>
      <c r="I768" s="225"/>
      <c r="J768" s="225"/>
      <c r="K768" s="225"/>
      <c r="L768" s="225"/>
      <c r="M768" s="225"/>
      <c r="N768" s="225"/>
      <c r="O768" s="225"/>
      <c r="P768" s="225"/>
      <c r="Q768" s="225"/>
      <c r="R768" s="225"/>
      <c r="S768" s="225"/>
      <c r="T768" s="225"/>
      <c r="U768" s="225"/>
      <c r="V768" s="225"/>
      <c r="W768" s="225"/>
      <c r="X768" s="225"/>
    </row>
    <row r="769" spans="1:24" ht="13.8" x14ac:dyDescent="0.3">
      <c r="A769" s="225"/>
      <c r="B769" s="225"/>
      <c r="C769" s="225"/>
      <c r="D769" s="225"/>
      <c r="E769" s="225"/>
      <c r="F769" s="225"/>
      <c r="G769" s="225"/>
      <c r="H769" s="225"/>
      <c r="I769" s="225"/>
      <c r="J769" s="225"/>
      <c r="K769" s="225"/>
      <c r="L769" s="225"/>
      <c r="M769" s="225"/>
      <c r="N769" s="225"/>
      <c r="O769" s="225"/>
      <c r="P769" s="225"/>
      <c r="Q769" s="225"/>
      <c r="R769" s="225"/>
      <c r="S769" s="225"/>
      <c r="T769" s="225"/>
      <c r="U769" s="225"/>
      <c r="V769" s="225"/>
      <c r="W769" s="225"/>
      <c r="X769" s="225"/>
    </row>
    <row r="770" spans="1:24" ht="13.8" x14ac:dyDescent="0.3">
      <c r="A770" s="225"/>
      <c r="B770" s="225"/>
      <c r="C770" s="225"/>
      <c r="D770" s="225"/>
      <c r="E770" s="225"/>
      <c r="F770" s="225"/>
      <c r="G770" s="225"/>
      <c r="H770" s="225"/>
      <c r="I770" s="225"/>
      <c r="J770" s="225"/>
      <c r="K770" s="225"/>
      <c r="L770" s="225"/>
      <c r="M770" s="225"/>
      <c r="N770" s="225"/>
      <c r="O770" s="225"/>
      <c r="P770" s="225"/>
      <c r="Q770" s="225"/>
      <c r="R770" s="225"/>
      <c r="S770" s="225"/>
      <c r="T770" s="225"/>
      <c r="U770" s="225"/>
      <c r="V770" s="225"/>
      <c r="W770" s="225"/>
      <c r="X770" s="225"/>
    </row>
    <row r="771" spans="1:24" ht="13.8" x14ac:dyDescent="0.3">
      <c r="A771" s="225"/>
      <c r="B771" s="225"/>
      <c r="C771" s="225"/>
      <c r="D771" s="225"/>
      <c r="E771" s="225"/>
      <c r="F771" s="225"/>
      <c r="G771" s="225"/>
      <c r="H771" s="225"/>
      <c r="I771" s="225"/>
      <c r="J771" s="225"/>
      <c r="K771" s="225"/>
      <c r="L771" s="225"/>
      <c r="M771" s="225"/>
      <c r="N771" s="225"/>
      <c r="O771" s="225"/>
      <c r="P771" s="225"/>
      <c r="Q771" s="225"/>
      <c r="R771" s="225"/>
      <c r="S771" s="225"/>
      <c r="T771" s="225"/>
      <c r="U771" s="225"/>
      <c r="V771" s="225"/>
      <c r="W771" s="225"/>
      <c r="X771" s="225"/>
    </row>
    <row r="772" spans="1:24" ht="13.8" x14ac:dyDescent="0.3">
      <c r="A772" s="225"/>
      <c r="B772" s="225"/>
      <c r="C772" s="225"/>
      <c r="D772" s="225"/>
      <c r="E772" s="225"/>
      <c r="F772" s="225"/>
      <c r="G772" s="225"/>
      <c r="H772" s="225"/>
      <c r="I772" s="225"/>
      <c r="J772" s="225"/>
      <c r="K772" s="225"/>
      <c r="L772" s="225"/>
      <c r="M772" s="225"/>
      <c r="N772" s="225"/>
      <c r="O772" s="225"/>
      <c r="P772" s="225"/>
      <c r="Q772" s="225"/>
      <c r="R772" s="225"/>
      <c r="S772" s="225"/>
      <c r="T772" s="225"/>
      <c r="U772" s="225"/>
      <c r="V772" s="225"/>
      <c r="W772" s="225"/>
      <c r="X772" s="225"/>
    </row>
    <row r="773" spans="1:24" ht="13.8" x14ac:dyDescent="0.3">
      <c r="A773" s="225"/>
      <c r="B773" s="225"/>
      <c r="C773" s="225"/>
      <c r="D773" s="225"/>
      <c r="E773" s="225"/>
      <c r="F773" s="225"/>
      <c r="G773" s="225"/>
      <c r="H773" s="225"/>
      <c r="I773" s="225"/>
      <c r="J773" s="225"/>
      <c r="K773" s="225"/>
      <c r="L773" s="225"/>
      <c r="M773" s="225"/>
      <c r="N773" s="225"/>
      <c r="O773" s="225"/>
      <c r="P773" s="225"/>
      <c r="Q773" s="225"/>
      <c r="R773" s="225"/>
      <c r="S773" s="225"/>
      <c r="T773" s="225"/>
      <c r="U773" s="225"/>
      <c r="V773" s="225"/>
      <c r="W773" s="225"/>
      <c r="X773" s="225"/>
    </row>
    <row r="774" spans="1:24" ht="13.8" x14ac:dyDescent="0.3">
      <c r="A774" s="225"/>
      <c r="B774" s="225"/>
      <c r="C774" s="225"/>
      <c r="D774" s="225"/>
      <c r="E774" s="225"/>
      <c r="F774" s="225"/>
      <c r="G774" s="225"/>
      <c r="H774" s="225"/>
      <c r="I774" s="225"/>
      <c r="J774" s="225"/>
      <c r="K774" s="225"/>
      <c r="L774" s="225"/>
      <c r="M774" s="225"/>
      <c r="N774" s="225"/>
      <c r="O774" s="225"/>
      <c r="P774" s="225"/>
      <c r="Q774" s="225"/>
      <c r="R774" s="225"/>
      <c r="S774" s="225"/>
      <c r="T774" s="225"/>
      <c r="U774" s="225"/>
      <c r="V774" s="225"/>
      <c r="W774" s="225"/>
      <c r="X774" s="225"/>
    </row>
    <row r="775" spans="1:24" ht="13.8" x14ac:dyDescent="0.3">
      <c r="A775" s="225"/>
      <c r="B775" s="225"/>
      <c r="C775" s="225"/>
      <c r="D775" s="225"/>
      <c r="E775" s="225"/>
      <c r="F775" s="225"/>
      <c r="G775" s="225"/>
      <c r="H775" s="225"/>
      <c r="I775" s="225"/>
      <c r="J775" s="225"/>
      <c r="K775" s="225"/>
      <c r="L775" s="225"/>
      <c r="M775" s="225"/>
      <c r="N775" s="225"/>
      <c r="O775" s="225"/>
      <c r="P775" s="225"/>
      <c r="Q775" s="225"/>
      <c r="R775" s="225"/>
      <c r="S775" s="225"/>
      <c r="T775" s="225"/>
      <c r="U775" s="225"/>
      <c r="V775" s="225"/>
      <c r="W775" s="225"/>
      <c r="X775" s="225"/>
    </row>
    <row r="776" spans="1:24" ht="13.8" x14ac:dyDescent="0.3">
      <c r="A776" s="225"/>
      <c r="B776" s="225"/>
      <c r="C776" s="225"/>
      <c r="D776" s="225"/>
      <c r="E776" s="225"/>
      <c r="F776" s="225"/>
      <c r="G776" s="225"/>
      <c r="H776" s="225"/>
      <c r="I776" s="225"/>
      <c r="J776" s="225"/>
      <c r="K776" s="225"/>
      <c r="L776" s="225"/>
      <c r="M776" s="225"/>
      <c r="N776" s="225"/>
      <c r="O776" s="225"/>
      <c r="P776" s="225"/>
      <c r="Q776" s="225"/>
      <c r="R776" s="225"/>
      <c r="S776" s="225"/>
      <c r="T776" s="225"/>
      <c r="U776" s="225"/>
      <c r="V776" s="225"/>
      <c r="W776" s="225"/>
      <c r="X776" s="225"/>
    </row>
    <row r="777" spans="1:24" ht="13.8" x14ac:dyDescent="0.3">
      <c r="A777" s="225"/>
      <c r="B777" s="225"/>
      <c r="C777" s="225"/>
      <c r="D777" s="225"/>
      <c r="E777" s="225"/>
      <c r="F777" s="225"/>
      <c r="G777" s="225"/>
      <c r="H777" s="225"/>
      <c r="I777" s="225"/>
      <c r="J777" s="225"/>
      <c r="K777" s="225"/>
      <c r="L777" s="225"/>
      <c r="M777" s="225"/>
      <c r="N777" s="225"/>
      <c r="O777" s="225"/>
      <c r="P777" s="225"/>
      <c r="Q777" s="225"/>
      <c r="R777" s="225"/>
      <c r="S777" s="225"/>
      <c r="T777" s="225"/>
      <c r="U777" s="225"/>
      <c r="V777" s="225"/>
      <c r="W777" s="225"/>
      <c r="X777" s="225"/>
    </row>
    <row r="778" spans="1:24" ht="13.8" x14ac:dyDescent="0.3">
      <c r="A778" s="225"/>
      <c r="B778" s="225"/>
      <c r="C778" s="225"/>
      <c r="D778" s="225"/>
      <c r="E778" s="225"/>
      <c r="F778" s="225"/>
      <c r="G778" s="225"/>
      <c r="H778" s="225"/>
      <c r="I778" s="225"/>
      <c r="J778" s="225"/>
      <c r="K778" s="225"/>
      <c r="L778" s="225"/>
      <c r="M778" s="225"/>
      <c r="N778" s="225"/>
      <c r="O778" s="225"/>
      <c r="P778" s="225"/>
      <c r="Q778" s="225"/>
      <c r="R778" s="225"/>
      <c r="S778" s="225"/>
      <c r="T778" s="225"/>
      <c r="U778" s="225"/>
      <c r="V778" s="225"/>
      <c r="W778" s="225"/>
      <c r="X778" s="225"/>
    </row>
    <row r="779" spans="1:24" ht="13.8" x14ac:dyDescent="0.3">
      <c r="A779" s="225"/>
      <c r="B779" s="225"/>
      <c r="C779" s="225"/>
      <c r="D779" s="225"/>
      <c r="E779" s="225"/>
      <c r="F779" s="225"/>
      <c r="G779" s="225"/>
      <c r="H779" s="225"/>
      <c r="I779" s="225"/>
      <c r="J779" s="225"/>
      <c r="K779" s="225"/>
      <c r="L779" s="225"/>
      <c r="M779" s="225"/>
      <c r="N779" s="225"/>
      <c r="O779" s="225"/>
      <c r="P779" s="225"/>
      <c r="Q779" s="225"/>
      <c r="R779" s="225"/>
      <c r="S779" s="225"/>
      <c r="T779" s="225"/>
      <c r="U779" s="225"/>
      <c r="V779" s="225"/>
      <c r="W779" s="225"/>
      <c r="X779" s="225"/>
    </row>
    <row r="780" spans="1:24" ht="13.8" x14ac:dyDescent="0.3">
      <c r="A780" s="225"/>
      <c r="B780" s="225"/>
      <c r="C780" s="225"/>
      <c r="D780" s="225"/>
      <c r="E780" s="225"/>
      <c r="F780" s="225"/>
      <c r="G780" s="225"/>
      <c r="H780" s="225"/>
      <c r="I780" s="225"/>
      <c r="J780" s="225"/>
      <c r="K780" s="225"/>
      <c r="L780" s="225"/>
      <c r="M780" s="225"/>
      <c r="N780" s="225"/>
      <c r="O780" s="225"/>
      <c r="P780" s="225"/>
      <c r="Q780" s="225"/>
      <c r="R780" s="225"/>
      <c r="S780" s="225"/>
      <c r="T780" s="225"/>
      <c r="U780" s="225"/>
      <c r="V780" s="225"/>
      <c r="W780" s="225"/>
      <c r="X780" s="225"/>
    </row>
    <row r="781" spans="1:24" ht="13.8" x14ac:dyDescent="0.3">
      <c r="A781" s="225"/>
      <c r="B781" s="225"/>
      <c r="C781" s="225"/>
      <c r="D781" s="225"/>
      <c r="E781" s="225"/>
      <c r="F781" s="225"/>
      <c r="G781" s="225"/>
      <c r="H781" s="225"/>
      <c r="I781" s="225"/>
      <c r="J781" s="225"/>
      <c r="K781" s="225"/>
      <c r="L781" s="225"/>
      <c r="M781" s="225"/>
      <c r="N781" s="225"/>
      <c r="O781" s="225"/>
      <c r="P781" s="225"/>
      <c r="Q781" s="225"/>
      <c r="R781" s="225"/>
      <c r="S781" s="225"/>
      <c r="T781" s="225"/>
      <c r="U781" s="225"/>
      <c r="V781" s="225"/>
      <c r="W781" s="225"/>
      <c r="X781" s="225"/>
    </row>
    <row r="782" spans="1:24" ht="13.8" x14ac:dyDescent="0.3">
      <c r="A782" s="225"/>
      <c r="B782" s="225"/>
      <c r="C782" s="225"/>
      <c r="D782" s="225"/>
      <c r="E782" s="225"/>
      <c r="F782" s="225"/>
      <c r="G782" s="225"/>
      <c r="H782" s="225"/>
      <c r="I782" s="225"/>
      <c r="J782" s="225"/>
      <c r="K782" s="225"/>
      <c r="L782" s="225"/>
      <c r="M782" s="225"/>
      <c r="N782" s="225"/>
      <c r="O782" s="225"/>
      <c r="P782" s="225"/>
      <c r="Q782" s="225"/>
      <c r="R782" s="225"/>
      <c r="S782" s="225"/>
      <c r="T782" s="225"/>
      <c r="U782" s="225"/>
      <c r="V782" s="225"/>
      <c r="W782" s="225"/>
      <c r="X782" s="225"/>
    </row>
    <row r="783" spans="1:24" ht="13.8" x14ac:dyDescent="0.3">
      <c r="A783" s="225"/>
      <c r="B783" s="225"/>
      <c r="C783" s="225"/>
      <c r="D783" s="225"/>
      <c r="E783" s="225"/>
      <c r="F783" s="225"/>
      <c r="G783" s="225"/>
      <c r="H783" s="225"/>
      <c r="I783" s="225"/>
      <c r="J783" s="225"/>
      <c r="K783" s="225"/>
      <c r="L783" s="225"/>
      <c r="M783" s="225"/>
      <c r="N783" s="225"/>
      <c r="O783" s="225"/>
      <c r="P783" s="225"/>
      <c r="Q783" s="225"/>
      <c r="R783" s="225"/>
      <c r="S783" s="225"/>
      <c r="T783" s="225"/>
      <c r="U783" s="225"/>
      <c r="V783" s="225"/>
      <c r="W783" s="225"/>
      <c r="X783" s="225"/>
    </row>
    <row r="784" spans="1:24" ht="13.8" x14ac:dyDescent="0.3">
      <c r="A784" s="225"/>
      <c r="B784" s="225"/>
      <c r="C784" s="225"/>
      <c r="D784" s="225"/>
      <c r="E784" s="225"/>
      <c r="F784" s="225"/>
      <c r="G784" s="225"/>
      <c r="H784" s="225"/>
      <c r="I784" s="225"/>
      <c r="J784" s="225"/>
      <c r="K784" s="225"/>
      <c r="L784" s="225"/>
      <c r="M784" s="225"/>
      <c r="N784" s="225"/>
      <c r="O784" s="225"/>
      <c r="P784" s="225"/>
      <c r="Q784" s="225"/>
      <c r="R784" s="225"/>
      <c r="S784" s="225"/>
      <c r="T784" s="225"/>
      <c r="U784" s="225"/>
      <c r="V784" s="225"/>
      <c r="W784" s="225"/>
      <c r="X784" s="225"/>
    </row>
    <row r="785" spans="1:24" ht="13.8" x14ac:dyDescent="0.3">
      <c r="A785" s="225"/>
      <c r="B785" s="225"/>
      <c r="C785" s="225"/>
      <c r="D785" s="225"/>
      <c r="E785" s="225"/>
      <c r="F785" s="225"/>
      <c r="G785" s="225"/>
      <c r="H785" s="225"/>
      <c r="I785" s="225"/>
      <c r="J785" s="225"/>
      <c r="K785" s="225"/>
      <c r="L785" s="225"/>
      <c r="M785" s="225"/>
      <c r="N785" s="225"/>
      <c r="O785" s="225"/>
      <c r="P785" s="225"/>
      <c r="Q785" s="225"/>
      <c r="R785" s="225"/>
      <c r="S785" s="225"/>
      <c r="T785" s="225"/>
      <c r="U785" s="225"/>
      <c r="V785" s="225"/>
      <c r="W785" s="225"/>
      <c r="X785" s="225"/>
    </row>
    <row r="786" spans="1:24" ht="13.8" x14ac:dyDescent="0.3">
      <c r="A786" s="225"/>
      <c r="B786" s="225"/>
      <c r="C786" s="225"/>
      <c r="D786" s="225"/>
      <c r="E786" s="225"/>
      <c r="F786" s="225"/>
      <c r="G786" s="225"/>
      <c r="H786" s="225"/>
      <c r="I786" s="225"/>
      <c r="J786" s="225"/>
      <c r="K786" s="225"/>
      <c r="L786" s="225"/>
      <c r="M786" s="225"/>
      <c r="N786" s="225"/>
      <c r="O786" s="225"/>
      <c r="P786" s="225"/>
      <c r="Q786" s="225"/>
      <c r="R786" s="225"/>
      <c r="S786" s="225"/>
      <c r="T786" s="225"/>
      <c r="U786" s="225"/>
      <c r="V786" s="225"/>
      <c r="W786" s="225"/>
      <c r="X786" s="225"/>
    </row>
    <row r="787" spans="1:24" ht="13.8" x14ac:dyDescent="0.3">
      <c r="A787" s="225"/>
      <c r="B787" s="225"/>
      <c r="C787" s="225"/>
      <c r="D787" s="225"/>
      <c r="E787" s="225"/>
      <c r="F787" s="225"/>
      <c r="G787" s="225"/>
      <c r="H787" s="225"/>
      <c r="I787" s="225"/>
      <c r="J787" s="225"/>
      <c r="K787" s="225"/>
      <c r="L787" s="225"/>
      <c r="M787" s="225"/>
      <c r="N787" s="225"/>
      <c r="O787" s="225"/>
      <c r="P787" s="225"/>
      <c r="Q787" s="225"/>
      <c r="R787" s="225"/>
      <c r="S787" s="225"/>
      <c r="T787" s="225"/>
      <c r="U787" s="225"/>
      <c r="V787" s="225"/>
      <c r="W787" s="225"/>
      <c r="X787" s="225"/>
    </row>
    <row r="788" spans="1:24" ht="13.8" x14ac:dyDescent="0.3">
      <c r="A788" s="225"/>
      <c r="B788" s="225"/>
      <c r="C788" s="225"/>
      <c r="D788" s="225"/>
      <c r="E788" s="225"/>
      <c r="F788" s="225"/>
      <c r="G788" s="225"/>
      <c r="H788" s="225"/>
      <c r="I788" s="225"/>
      <c r="J788" s="225"/>
      <c r="K788" s="225"/>
      <c r="L788" s="225"/>
      <c r="M788" s="225"/>
      <c r="N788" s="225"/>
      <c r="O788" s="225"/>
      <c r="P788" s="225"/>
      <c r="Q788" s="225"/>
      <c r="R788" s="225"/>
      <c r="S788" s="225"/>
      <c r="T788" s="225"/>
      <c r="U788" s="225"/>
      <c r="V788" s="225"/>
      <c r="W788" s="225"/>
      <c r="X788" s="225"/>
    </row>
    <row r="789" spans="1:24" ht="13.8" x14ac:dyDescent="0.3">
      <c r="A789" s="225"/>
      <c r="B789" s="225"/>
      <c r="C789" s="225"/>
      <c r="D789" s="225"/>
      <c r="E789" s="225"/>
      <c r="F789" s="225"/>
      <c r="G789" s="225"/>
      <c r="H789" s="225"/>
      <c r="I789" s="225"/>
      <c r="J789" s="225"/>
      <c r="K789" s="225"/>
      <c r="L789" s="225"/>
      <c r="M789" s="225"/>
      <c r="N789" s="225"/>
      <c r="O789" s="225"/>
      <c r="P789" s="225"/>
      <c r="Q789" s="225"/>
      <c r="R789" s="225"/>
      <c r="S789" s="225"/>
      <c r="T789" s="225"/>
      <c r="U789" s="225"/>
      <c r="V789" s="225"/>
      <c r="W789" s="225"/>
      <c r="X789" s="225"/>
    </row>
    <row r="790" spans="1:24" ht="13.8" x14ac:dyDescent="0.3">
      <c r="A790" s="225"/>
      <c r="B790" s="225"/>
      <c r="C790" s="225"/>
      <c r="D790" s="225"/>
      <c r="E790" s="225"/>
      <c r="F790" s="225"/>
      <c r="G790" s="225"/>
      <c r="H790" s="225"/>
      <c r="I790" s="225"/>
      <c r="J790" s="225"/>
      <c r="K790" s="225"/>
      <c r="L790" s="225"/>
      <c r="M790" s="225"/>
      <c r="N790" s="225"/>
      <c r="O790" s="225"/>
      <c r="P790" s="225"/>
      <c r="Q790" s="225"/>
      <c r="R790" s="225"/>
      <c r="S790" s="225"/>
      <c r="T790" s="225"/>
      <c r="U790" s="225"/>
      <c r="V790" s="225"/>
      <c r="W790" s="225"/>
      <c r="X790" s="225"/>
    </row>
    <row r="791" spans="1:24" ht="13.8" x14ac:dyDescent="0.3">
      <c r="A791" s="225"/>
      <c r="B791" s="225"/>
      <c r="C791" s="225"/>
      <c r="D791" s="225"/>
      <c r="E791" s="225"/>
      <c r="F791" s="225"/>
      <c r="G791" s="225"/>
      <c r="H791" s="225"/>
      <c r="I791" s="225"/>
      <c r="J791" s="225"/>
      <c r="K791" s="225"/>
      <c r="L791" s="225"/>
      <c r="M791" s="225"/>
      <c r="N791" s="225"/>
      <c r="O791" s="225"/>
      <c r="P791" s="225"/>
      <c r="Q791" s="225"/>
      <c r="R791" s="225"/>
      <c r="S791" s="225"/>
      <c r="T791" s="225"/>
      <c r="U791" s="225"/>
      <c r="V791" s="225"/>
      <c r="W791" s="225"/>
      <c r="X791" s="225"/>
    </row>
    <row r="792" spans="1:24" ht="13.8" x14ac:dyDescent="0.3">
      <c r="A792" s="225"/>
      <c r="B792" s="225"/>
      <c r="C792" s="225"/>
      <c r="D792" s="225"/>
      <c r="E792" s="225"/>
      <c r="F792" s="225"/>
      <c r="G792" s="225"/>
      <c r="H792" s="225"/>
      <c r="I792" s="225"/>
      <c r="J792" s="225"/>
      <c r="K792" s="225"/>
      <c r="L792" s="225"/>
      <c r="M792" s="225"/>
      <c r="N792" s="225"/>
      <c r="O792" s="225"/>
      <c r="P792" s="225"/>
      <c r="Q792" s="225"/>
      <c r="R792" s="225"/>
      <c r="S792" s="225"/>
      <c r="T792" s="225"/>
      <c r="U792" s="225"/>
      <c r="V792" s="225"/>
      <c r="W792" s="225"/>
      <c r="X792" s="225"/>
    </row>
    <row r="793" spans="1:24" ht="13.8" x14ac:dyDescent="0.3">
      <c r="A793" s="225"/>
      <c r="B793" s="225"/>
      <c r="C793" s="225"/>
      <c r="D793" s="225"/>
      <c r="E793" s="225"/>
      <c r="F793" s="225"/>
      <c r="G793" s="225"/>
      <c r="H793" s="225"/>
      <c r="I793" s="225"/>
      <c r="J793" s="225"/>
      <c r="K793" s="225"/>
      <c r="L793" s="225"/>
      <c r="M793" s="225"/>
      <c r="N793" s="225"/>
      <c r="O793" s="225"/>
      <c r="P793" s="225"/>
      <c r="Q793" s="225"/>
      <c r="R793" s="225"/>
      <c r="S793" s="225"/>
      <c r="T793" s="225"/>
      <c r="U793" s="225"/>
      <c r="V793" s="225"/>
      <c r="W793" s="225"/>
      <c r="X793" s="225"/>
    </row>
    <row r="794" spans="1:24" ht="13.8" x14ac:dyDescent="0.3">
      <c r="A794" s="225"/>
      <c r="B794" s="225"/>
      <c r="C794" s="225"/>
      <c r="D794" s="225"/>
      <c r="E794" s="225"/>
      <c r="F794" s="225"/>
      <c r="G794" s="225"/>
      <c r="H794" s="225"/>
      <c r="I794" s="225"/>
      <c r="J794" s="225"/>
      <c r="K794" s="225"/>
      <c r="L794" s="225"/>
      <c r="M794" s="225"/>
      <c r="N794" s="225"/>
      <c r="O794" s="225"/>
      <c r="P794" s="225"/>
      <c r="Q794" s="225"/>
      <c r="R794" s="225"/>
      <c r="S794" s="225"/>
      <c r="T794" s="225"/>
      <c r="U794" s="225"/>
      <c r="V794" s="225"/>
      <c r="W794" s="225"/>
      <c r="X794" s="225"/>
    </row>
    <row r="795" spans="1:24" ht="13.8" x14ac:dyDescent="0.3">
      <c r="A795" s="225"/>
      <c r="B795" s="225"/>
      <c r="C795" s="225"/>
      <c r="D795" s="225"/>
      <c r="E795" s="225"/>
      <c r="F795" s="225"/>
      <c r="G795" s="225"/>
      <c r="H795" s="225"/>
      <c r="I795" s="225"/>
      <c r="J795" s="225"/>
      <c r="K795" s="225"/>
      <c r="L795" s="225"/>
      <c r="M795" s="225"/>
      <c r="N795" s="225"/>
      <c r="O795" s="225"/>
      <c r="P795" s="225"/>
      <c r="Q795" s="225"/>
      <c r="R795" s="225"/>
      <c r="S795" s="225"/>
      <c r="T795" s="225"/>
      <c r="U795" s="225"/>
      <c r="V795" s="225"/>
      <c r="W795" s="225"/>
      <c r="X795" s="225"/>
    </row>
    <row r="796" spans="1:24" ht="13.8" x14ac:dyDescent="0.3">
      <c r="A796" s="225"/>
      <c r="B796" s="225"/>
      <c r="C796" s="225"/>
      <c r="D796" s="225"/>
      <c r="E796" s="225"/>
      <c r="F796" s="225"/>
      <c r="G796" s="225"/>
      <c r="H796" s="225"/>
      <c r="I796" s="225"/>
      <c r="J796" s="225"/>
      <c r="K796" s="225"/>
      <c r="L796" s="225"/>
      <c r="M796" s="225"/>
      <c r="N796" s="225"/>
      <c r="O796" s="225"/>
      <c r="P796" s="225"/>
      <c r="Q796" s="225"/>
      <c r="R796" s="225"/>
      <c r="S796" s="225"/>
      <c r="T796" s="225"/>
      <c r="U796" s="225"/>
      <c r="V796" s="225"/>
      <c r="W796" s="225"/>
      <c r="X796" s="225"/>
    </row>
    <row r="797" spans="1:24" ht="13.8" x14ac:dyDescent="0.3">
      <c r="A797" s="225"/>
      <c r="B797" s="225"/>
      <c r="C797" s="225"/>
      <c r="D797" s="225"/>
      <c r="E797" s="225"/>
      <c r="F797" s="225"/>
      <c r="G797" s="225"/>
      <c r="H797" s="225"/>
      <c r="I797" s="225"/>
      <c r="J797" s="225"/>
      <c r="K797" s="225"/>
      <c r="L797" s="225"/>
      <c r="M797" s="225"/>
      <c r="N797" s="225"/>
      <c r="O797" s="225"/>
      <c r="P797" s="225"/>
      <c r="Q797" s="225"/>
      <c r="R797" s="225"/>
      <c r="S797" s="225"/>
      <c r="T797" s="225"/>
      <c r="U797" s="225"/>
      <c r="V797" s="225"/>
      <c r="W797" s="225"/>
      <c r="X797" s="225"/>
    </row>
    <row r="798" spans="1:24" ht="13.8" x14ac:dyDescent="0.3">
      <c r="A798" s="225"/>
      <c r="B798" s="225"/>
      <c r="C798" s="225"/>
      <c r="D798" s="225"/>
      <c r="E798" s="225"/>
      <c r="F798" s="225"/>
      <c r="G798" s="225"/>
      <c r="H798" s="225"/>
      <c r="I798" s="225"/>
      <c r="J798" s="225"/>
      <c r="K798" s="225"/>
      <c r="L798" s="225"/>
      <c r="M798" s="225"/>
      <c r="N798" s="225"/>
      <c r="O798" s="225"/>
      <c r="P798" s="225"/>
      <c r="Q798" s="225"/>
      <c r="R798" s="225"/>
      <c r="S798" s="225"/>
      <c r="T798" s="225"/>
      <c r="U798" s="225"/>
      <c r="V798" s="225"/>
      <c r="W798" s="225"/>
      <c r="X798" s="225"/>
    </row>
    <row r="799" spans="1:24" ht="13.8" x14ac:dyDescent="0.3">
      <c r="A799" s="225"/>
      <c r="B799" s="225"/>
      <c r="C799" s="225"/>
      <c r="D799" s="225"/>
      <c r="E799" s="225"/>
      <c r="F799" s="225"/>
      <c r="G799" s="225"/>
      <c r="H799" s="225"/>
      <c r="I799" s="225"/>
      <c r="J799" s="225"/>
      <c r="K799" s="225"/>
      <c r="L799" s="225"/>
      <c r="M799" s="225"/>
      <c r="N799" s="225"/>
      <c r="O799" s="225"/>
      <c r="P799" s="225"/>
      <c r="Q799" s="225"/>
      <c r="R799" s="225"/>
      <c r="S799" s="225"/>
      <c r="T799" s="225"/>
      <c r="U799" s="225"/>
      <c r="V799" s="225"/>
      <c r="W799" s="225"/>
      <c r="X799" s="225"/>
    </row>
    <row r="800" spans="1:24" ht="13.8" x14ac:dyDescent="0.3">
      <c r="A800" s="225"/>
      <c r="B800" s="225"/>
      <c r="C800" s="225"/>
      <c r="D800" s="225"/>
      <c r="E800" s="225"/>
      <c r="F800" s="225"/>
      <c r="G800" s="225"/>
      <c r="H800" s="225"/>
      <c r="I800" s="225"/>
      <c r="J800" s="225"/>
      <c r="K800" s="225"/>
      <c r="L800" s="225"/>
      <c r="M800" s="225"/>
      <c r="N800" s="225"/>
      <c r="O800" s="225"/>
      <c r="P800" s="225"/>
      <c r="Q800" s="225"/>
      <c r="R800" s="225"/>
      <c r="S800" s="225"/>
      <c r="T800" s="225"/>
      <c r="U800" s="225"/>
      <c r="V800" s="225"/>
      <c r="W800" s="225"/>
      <c r="X800" s="225"/>
    </row>
    <row r="801" spans="1:24" ht="13.8" x14ac:dyDescent="0.3">
      <c r="A801" s="225"/>
      <c r="B801" s="225"/>
      <c r="C801" s="225"/>
      <c r="D801" s="225"/>
      <c r="E801" s="225"/>
      <c r="F801" s="225"/>
      <c r="G801" s="225"/>
      <c r="H801" s="225"/>
      <c r="I801" s="225"/>
      <c r="J801" s="225"/>
      <c r="K801" s="225"/>
      <c r="L801" s="225"/>
      <c r="M801" s="225"/>
      <c r="N801" s="225"/>
      <c r="O801" s="225"/>
      <c r="P801" s="225"/>
      <c r="Q801" s="225"/>
      <c r="R801" s="225"/>
      <c r="S801" s="225"/>
      <c r="T801" s="225"/>
      <c r="U801" s="225"/>
      <c r="V801" s="225"/>
      <c r="W801" s="225"/>
      <c r="X801" s="225"/>
    </row>
    <row r="802" spans="1:24" ht="13.8" x14ac:dyDescent="0.3">
      <c r="A802" s="225"/>
      <c r="B802" s="225"/>
      <c r="C802" s="225"/>
      <c r="D802" s="225"/>
      <c r="E802" s="225"/>
      <c r="F802" s="225"/>
      <c r="G802" s="225"/>
      <c r="H802" s="225"/>
      <c r="I802" s="225"/>
      <c r="J802" s="225"/>
      <c r="K802" s="225"/>
      <c r="L802" s="225"/>
      <c r="M802" s="225"/>
      <c r="N802" s="225"/>
      <c r="O802" s="225"/>
      <c r="P802" s="225"/>
      <c r="Q802" s="225"/>
      <c r="R802" s="225"/>
      <c r="S802" s="225"/>
      <c r="T802" s="225"/>
      <c r="U802" s="225"/>
      <c r="V802" s="225"/>
      <c r="W802" s="225"/>
      <c r="X802" s="225"/>
    </row>
    <row r="803" spans="1:24" ht="13.8" x14ac:dyDescent="0.3">
      <c r="A803" s="225"/>
      <c r="B803" s="225"/>
      <c r="C803" s="225"/>
      <c r="D803" s="225"/>
      <c r="E803" s="225"/>
      <c r="F803" s="225"/>
      <c r="G803" s="225"/>
      <c r="H803" s="225"/>
      <c r="I803" s="225"/>
      <c r="J803" s="225"/>
      <c r="K803" s="225"/>
      <c r="L803" s="225"/>
      <c r="M803" s="225"/>
      <c r="N803" s="225"/>
      <c r="O803" s="225"/>
      <c r="P803" s="225"/>
      <c r="Q803" s="225"/>
      <c r="R803" s="225"/>
      <c r="S803" s="225"/>
      <c r="T803" s="225"/>
      <c r="U803" s="225"/>
      <c r="V803" s="225"/>
      <c r="W803" s="225"/>
      <c r="X803" s="225"/>
    </row>
    <row r="804" spans="1:24" ht="13.8" x14ac:dyDescent="0.3">
      <c r="A804" s="225"/>
      <c r="B804" s="225"/>
      <c r="C804" s="225"/>
      <c r="D804" s="225"/>
      <c r="E804" s="225"/>
      <c r="F804" s="225"/>
      <c r="G804" s="225"/>
      <c r="H804" s="225"/>
      <c r="I804" s="225"/>
      <c r="J804" s="225"/>
      <c r="K804" s="225"/>
      <c r="L804" s="225"/>
      <c r="M804" s="225"/>
      <c r="N804" s="225"/>
      <c r="O804" s="225"/>
      <c r="P804" s="225"/>
      <c r="Q804" s="225"/>
      <c r="R804" s="225"/>
      <c r="S804" s="225"/>
      <c r="T804" s="225"/>
      <c r="U804" s="225"/>
      <c r="V804" s="225"/>
      <c r="W804" s="225"/>
      <c r="X804" s="225"/>
    </row>
    <row r="805" spans="1:24" ht="13.8" x14ac:dyDescent="0.3">
      <c r="A805" s="225"/>
      <c r="B805" s="225"/>
      <c r="C805" s="225"/>
      <c r="D805" s="225"/>
      <c r="E805" s="225"/>
      <c r="F805" s="225"/>
      <c r="G805" s="225"/>
      <c r="H805" s="225"/>
      <c r="I805" s="225"/>
      <c r="J805" s="225"/>
      <c r="K805" s="225"/>
      <c r="L805" s="225"/>
      <c r="M805" s="225"/>
      <c r="N805" s="225"/>
      <c r="O805" s="225"/>
      <c r="P805" s="225"/>
      <c r="Q805" s="225"/>
      <c r="R805" s="225"/>
      <c r="S805" s="225"/>
      <c r="T805" s="225"/>
      <c r="U805" s="225"/>
      <c r="V805" s="225"/>
      <c r="W805" s="225"/>
      <c r="X805" s="225"/>
    </row>
    <row r="806" spans="1:24" ht="13.8" x14ac:dyDescent="0.3">
      <c r="A806" s="225"/>
      <c r="B806" s="225"/>
      <c r="C806" s="225"/>
      <c r="D806" s="225"/>
      <c r="E806" s="225"/>
      <c r="F806" s="225"/>
      <c r="G806" s="225"/>
      <c r="H806" s="225"/>
      <c r="I806" s="225"/>
      <c r="J806" s="225"/>
      <c r="K806" s="225"/>
      <c r="L806" s="225"/>
      <c r="M806" s="225"/>
      <c r="N806" s="225"/>
      <c r="O806" s="225"/>
      <c r="P806" s="225"/>
      <c r="Q806" s="225"/>
      <c r="R806" s="225"/>
      <c r="S806" s="225"/>
      <c r="T806" s="225"/>
      <c r="U806" s="225"/>
      <c r="V806" s="225"/>
      <c r="W806" s="225"/>
      <c r="X806" s="225"/>
    </row>
    <row r="807" spans="1:24" ht="13.8" x14ac:dyDescent="0.3">
      <c r="A807" s="225"/>
      <c r="B807" s="225"/>
      <c r="C807" s="225"/>
      <c r="D807" s="225"/>
      <c r="E807" s="225"/>
      <c r="F807" s="225"/>
      <c r="G807" s="225"/>
      <c r="H807" s="225"/>
      <c r="I807" s="225"/>
      <c r="J807" s="225"/>
      <c r="K807" s="225"/>
      <c r="L807" s="225"/>
      <c r="M807" s="225"/>
      <c r="N807" s="225"/>
      <c r="O807" s="225"/>
      <c r="P807" s="225"/>
      <c r="Q807" s="225"/>
      <c r="R807" s="225"/>
      <c r="S807" s="225"/>
      <c r="T807" s="225"/>
      <c r="U807" s="225"/>
      <c r="V807" s="225"/>
      <c r="W807" s="225"/>
      <c r="X807" s="225"/>
    </row>
    <row r="808" spans="1:24" ht="13.8" x14ac:dyDescent="0.3">
      <c r="A808" s="225"/>
      <c r="B808" s="225"/>
      <c r="C808" s="225"/>
      <c r="D808" s="225"/>
      <c r="E808" s="225"/>
      <c r="F808" s="225"/>
      <c r="G808" s="225"/>
      <c r="H808" s="225"/>
      <c r="I808" s="225"/>
      <c r="J808" s="225"/>
      <c r="K808" s="225"/>
      <c r="L808" s="225"/>
      <c r="M808" s="225"/>
      <c r="N808" s="225"/>
      <c r="O808" s="225"/>
      <c r="P808" s="225"/>
      <c r="Q808" s="225"/>
      <c r="R808" s="225"/>
      <c r="S808" s="225"/>
      <c r="T808" s="225"/>
      <c r="U808" s="225"/>
      <c r="V808" s="225"/>
      <c r="W808" s="225"/>
      <c r="X808" s="225"/>
    </row>
    <row r="809" spans="1:24" ht="13.8" x14ac:dyDescent="0.3">
      <c r="A809" s="225"/>
      <c r="B809" s="225"/>
      <c r="C809" s="225"/>
      <c r="D809" s="225"/>
      <c r="E809" s="225"/>
      <c r="F809" s="225"/>
      <c r="G809" s="225"/>
      <c r="H809" s="225"/>
      <c r="I809" s="225"/>
      <c r="J809" s="225"/>
      <c r="K809" s="225"/>
      <c r="L809" s="225"/>
      <c r="M809" s="225"/>
      <c r="N809" s="225"/>
      <c r="O809" s="225"/>
      <c r="P809" s="225"/>
      <c r="Q809" s="225"/>
      <c r="R809" s="225"/>
      <c r="S809" s="225"/>
      <c r="T809" s="225"/>
      <c r="U809" s="225"/>
      <c r="V809" s="225"/>
      <c r="W809" s="225"/>
      <c r="X809" s="225"/>
    </row>
    <row r="810" spans="1:24" ht="13.8" x14ac:dyDescent="0.3">
      <c r="A810" s="225"/>
      <c r="B810" s="225"/>
      <c r="C810" s="225"/>
      <c r="D810" s="225"/>
      <c r="E810" s="225"/>
      <c r="F810" s="225"/>
      <c r="G810" s="225"/>
      <c r="H810" s="225"/>
      <c r="I810" s="225"/>
      <c r="J810" s="225"/>
      <c r="K810" s="225"/>
      <c r="L810" s="225"/>
      <c r="M810" s="225"/>
      <c r="N810" s="225"/>
      <c r="O810" s="225"/>
      <c r="P810" s="225"/>
      <c r="Q810" s="225"/>
      <c r="R810" s="225"/>
      <c r="S810" s="225"/>
      <c r="T810" s="225"/>
      <c r="U810" s="225"/>
      <c r="V810" s="225"/>
      <c r="W810" s="225"/>
      <c r="X810" s="225"/>
    </row>
    <row r="811" spans="1:24" ht="13.8" x14ac:dyDescent="0.3">
      <c r="A811" s="225"/>
      <c r="B811" s="225"/>
      <c r="C811" s="225"/>
      <c r="D811" s="225"/>
      <c r="E811" s="225"/>
      <c r="F811" s="225"/>
      <c r="G811" s="225"/>
      <c r="H811" s="225"/>
      <c r="I811" s="225"/>
      <c r="J811" s="225"/>
      <c r="K811" s="225"/>
      <c r="L811" s="225"/>
      <c r="M811" s="225"/>
      <c r="N811" s="225"/>
      <c r="O811" s="225"/>
      <c r="P811" s="225"/>
      <c r="Q811" s="225"/>
      <c r="R811" s="225"/>
      <c r="S811" s="225"/>
      <c r="T811" s="225"/>
      <c r="U811" s="225"/>
      <c r="V811" s="225"/>
      <c r="W811" s="225"/>
      <c r="X811" s="225"/>
    </row>
    <row r="812" spans="1:24" ht="13.8" x14ac:dyDescent="0.3">
      <c r="A812" s="225"/>
      <c r="B812" s="225"/>
      <c r="C812" s="225"/>
      <c r="D812" s="225"/>
      <c r="E812" s="225"/>
      <c r="F812" s="225"/>
      <c r="G812" s="225"/>
      <c r="H812" s="225"/>
      <c r="I812" s="225"/>
      <c r="J812" s="225"/>
      <c r="K812" s="225"/>
      <c r="L812" s="225"/>
      <c r="M812" s="225"/>
      <c r="N812" s="225"/>
      <c r="O812" s="225"/>
      <c r="P812" s="225"/>
      <c r="Q812" s="225"/>
      <c r="R812" s="225"/>
      <c r="S812" s="225"/>
      <c r="T812" s="225"/>
      <c r="U812" s="225"/>
      <c r="V812" s="225"/>
      <c r="W812" s="225"/>
      <c r="X812" s="225"/>
    </row>
    <row r="813" spans="1:24" ht="13.8" x14ac:dyDescent="0.3">
      <c r="A813" s="225"/>
      <c r="B813" s="225"/>
      <c r="C813" s="225"/>
      <c r="D813" s="225"/>
      <c r="E813" s="225"/>
      <c r="F813" s="225"/>
      <c r="G813" s="225"/>
      <c r="H813" s="225"/>
      <c r="I813" s="225"/>
      <c r="J813" s="225"/>
      <c r="K813" s="225"/>
      <c r="L813" s="225"/>
      <c r="M813" s="225"/>
      <c r="N813" s="225"/>
      <c r="O813" s="225"/>
      <c r="P813" s="225"/>
      <c r="Q813" s="225"/>
      <c r="R813" s="225"/>
      <c r="S813" s="225"/>
      <c r="T813" s="225"/>
      <c r="U813" s="225"/>
      <c r="V813" s="225"/>
      <c r="W813" s="225"/>
      <c r="X813" s="225"/>
    </row>
    <row r="814" spans="1:24" ht="13.8" x14ac:dyDescent="0.3">
      <c r="A814" s="225"/>
      <c r="B814" s="225"/>
      <c r="C814" s="225"/>
      <c r="D814" s="225"/>
      <c r="E814" s="225"/>
      <c r="F814" s="225"/>
      <c r="G814" s="225"/>
      <c r="H814" s="225"/>
      <c r="I814" s="225"/>
      <c r="J814" s="225"/>
      <c r="K814" s="225"/>
      <c r="L814" s="225"/>
      <c r="M814" s="225"/>
      <c r="N814" s="225"/>
      <c r="O814" s="225"/>
      <c r="P814" s="225"/>
      <c r="Q814" s="225"/>
      <c r="R814" s="225"/>
      <c r="S814" s="225"/>
      <c r="T814" s="225"/>
      <c r="U814" s="225"/>
      <c r="V814" s="225"/>
      <c r="W814" s="225"/>
      <c r="X814" s="225"/>
    </row>
    <row r="815" spans="1:24" ht="13.8" x14ac:dyDescent="0.3">
      <c r="A815" s="225"/>
      <c r="B815" s="225"/>
      <c r="C815" s="225"/>
      <c r="D815" s="225"/>
      <c r="E815" s="225"/>
      <c r="F815" s="225"/>
      <c r="G815" s="225"/>
      <c r="H815" s="225"/>
      <c r="I815" s="225"/>
      <c r="J815" s="225"/>
      <c r="K815" s="225"/>
      <c r="L815" s="225"/>
      <c r="M815" s="225"/>
      <c r="N815" s="225"/>
      <c r="O815" s="225"/>
      <c r="P815" s="225"/>
      <c r="Q815" s="225"/>
      <c r="R815" s="225"/>
      <c r="S815" s="225"/>
      <c r="T815" s="225"/>
      <c r="U815" s="225"/>
      <c r="V815" s="225"/>
      <c r="W815" s="225"/>
      <c r="X815" s="225"/>
    </row>
    <row r="816" spans="1:24" ht="13.8" x14ac:dyDescent="0.3">
      <c r="A816" s="225"/>
      <c r="B816" s="225"/>
      <c r="C816" s="225"/>
      <c r="D816" s="225"/>
      <c r="E816" s="225"/>
      <c r="F816" s="225"/>
      <c r="G816" s="225"/>
      <c r="H816" s="225"/>
      <c r="I816" s="225"/>
      <c r="J816" s="225"/>
      <c r="K816" s="225"/>
      <c r="L816" s="225"/>
      <c r="M816" s="225"/>
      <c r="N816" s="225"/>
      <c r="O816" s="225"/>
      <c r="P816" s="225"/>
      <c r="Q816" s="225"/>
      <c r="R816" s="225"/>
      <c r="S816" s="225"/>
      <c r="T816" s="225"/>
      <c r="U816" s="225"/>
      <c r="V816" s="225"/>
      <c r="W816" s="225"/>
      <c r="X816" s="225"/>
    </row>
    <row r="817" spans="1:24" ht="13.8" x14ac:dyDescent="0.3">
      <c r="A817" s="225"/>
      <c r="B817" s="225"/>
      <c r="C817" s="225"/>
      <c r="D817" s="225"/>
      <c r="E817" s="225"/>
      <c r="F817" s="225"/>
      <c r="G817" s="225"/>
      <c r="H817" s="225"/>
      <c r="I817" s="225"/>
      <c r="J817" s="225"/>
      <c r="K817" s="225"/>
      <c r="L817" s="225"/>
      <c r="M817" s="225"/>
      <c r="N817" s="225"/>
      <c r="O817" s="225"/>
      <c r="P817" s="225"/>
      <c r="Q817" s="225"/>
      <c r="R817" s="225"/>
      <c r="S817" s="225"/>
      <c r="T817" s="225"/>
      <c r="U817" s="225"/>
      <c r="V817" s="225"/>
      <c r="W817" s="225"/>
      <c r="X817" s="225"/>
    </row>
    <row r="818" spans="1:24" ht="13.8" x14ac:dyDescent="0.3">
      <c r="A818" s="225"/>
      <c r="B818" s="225"/>
      <c r="C818" s="225"/>
      <c r="D818" s="225"/>
      <c r="E818" s="225"/>
      <c r="F818" s="225"/>
      <c r="G818" s="225"/>
      <c r="H818" s="225"/>
      <c r="I818" s="225"/>
      <c r="J818" s="225"/>
      <c r="K818" s="225"/>
      <c r="L818" s="225"/>
      <c r="M818" s="225"/>
      <c r="N818" s="225"/>
      <c r="O818" s="225"/>
      <c r="P818" s="225"/>
      <c r="Q818" s="225"/>
      <c r="R818" s="225"/>
      <c r="S818" s="225"/>
      <c r="T818" s="225"/>
      <c r="U818" s="225"/>
      <c r="V818" s="225"/>
      <c r="W818" s="225"/>
      <c r="X818" s="225"/>
    </row>
    <row r="819" spans="1:24" ht="13.8" x14ac:dyDescent="0.3">
      <c r="A819" s="225"/>
      <c r="B819" s="225"/>
      <c r="C819" s="225"/>
      <c r="D819" s="225"/>
      <c r="E819" s="225"/>
      <c r="F819" s="225"/>
      <c r="G819" s="225"/>
      <c r="H819" s="225"/>
      <c r="I819" s="225"/>
      <c r="J819" s="225"/>
      <c r="K819" s="225"/>
      <c r="L819" s="225"/>
      <c r="M819" s="225"/>
      <c r="N819" s="225"/>
      <c r="O819" s="225"/>
      <c r="P819" s="225"/>
      <c r="Q819" s="225"/>
      <c r="R819" s="225"/>
      <c r="S819" s="225"/>
      <c r="T819" s="225"/>
      <c r="U819" s="225"/>
      <c r="V819" s="225"/>
      <c r="W819" s="225"/>
      <c r="X819" s="225"/>
    </row>
    <row r="820" spans="1:24" ht="13.8" x14ac:dyDescent="0.3">
      <c r="A820" s="225"/>
      <c r="B820" s="225"/>
      <c r="C820" s="225"/>
      <c r="D820" s="225"/>
      <c r="E820" s="225"/>
      <c r="F820" s="225"/>
      <c r="G820" s="225"/>
      <c r="H820" s="225"/>
      <c r="I820" s="225"/>
      <c r="J820" s="225"/>
      <c r="K820" s="225"/>
      <c r="L820" s="225"/>
      <c r="M820" s="225"/>
      <c r="N820" s="225"/>
      <c r="O820" s="225"/>
      <c r="P820" s="225"/>
      <c r="Q820" s="225"/>
      <c r="R820" s="225"/>
      <c r="S820" s="225"/>
      <c r="T820" s="225"/>
      <c r="U820" s="225"/>
      <c r="V820" s="225"/>
      <c r="W820" s="225"/>
      <c r="X820" s="225"/>
    </row>
    <row r="821" spans="1:24" ht="13.8" x14ac:dyDescent="0.3">
      <c r="A821" s="225"/>
      <c r="B821" s="225"/>
      <c r="C821" s="225"/>
      <c r="D821" s="225"/>
      <c r="E821" s="225"/>
      <c r="F821" s="225"/>
      <c r="G821" s="225"/>
      <c r="H821" s="225"/>
      <c r="I821" s="225"/>
      <c r="J821" s="225"/>
      <c r="K821" s="225"/>
      <c r="L821" s="225"/>
      <c r="M821" s="225"/>
      <c r="N821" s="225"/>
      <c r="O821" s="225"/>
      <c r="P821" s="225"/>
      <c r="Q821" s="225"/>
      <c r="R821" s="225"/>
      <c r="S821" s="225"/>
      <c r="T821" s="225"/>
      <c r="U821" s="225"/>
      <c r="V821" s="225"/>
      <c r="W821" s="225"/>
      <c r="X821" s="225"/>
    </row>
    <row r="822" spans="1:24" ht="13.8" x14ac:dyDescent="0.3">
      <c r="A822" s="225"/>
      <c r="B822" s="225"/>
      <c r="C822" s="225"/>
      <c r="D822" s="225"/>
      <c r="E822" s="225"/>
      <c r="F822" s="225"/>
      <c r="G822" s="225"/>
      <c r="H822" s="225"/>
      <c r="I822" s="225"/>
      <c r="J822" s="225"/>
      <c r="K822" s="225"/>
      <c r="L822" s="225"/>
      <c r="M822" s="225"/>
      <c r="N822" s="225"/>
      <c r="O822" s="225"/>
      <c r="P822" s="225"/>
      <c r="Q822" s="225"/>
      <c r="R822" s="225"/>
      <c r="S822" s="225"/>
      <c r="T822" s="225"/>
      <c r="U822" s="225"/>
      <c r="V822" s="225"/>
      <c r="W822" s="225"/>
      <c r="X822" s="225"/>
    </row>
    <row r="823" spans="1:24" ht="13.8" x14ac:dyDescent="0.3">
      <c r="A823" s="225"/>
      <c r="B823" s="225"/>
      <c r="C823" s="225"/>
      <c r="D823" s="225"/>
      <c r="E823" s="225"/>
      <c r="F823" s="225"/>
      <c r="G823" s="225"/>
      <c r="H823" s="225"/>
      <c r="I823" s="225"/>
      <c r="J823" s="225"/>
      <c r="K823" s="225"/>
      <c r="L823" s="225"/>
      <c r="M823" s="225"/>
      <c r="N823" s="225"/>
      <c r="O823" s="225"/>
      <c r="P823" s="225"/>
      <c r="Q823" s="225"/>
      <c r="R823" s="225"/>
      <c r="S823" s="225"/>
      <c r="T823" s="225"/>
      <c r="U823" s="225"/>
      <c r="V823" s="225"/>
      <c r="W823" s="225"/>
      <c r="X823" s="225"/>
    </row>
    <row r="824" spans="1:24" ht="13.8" x14ac:dyDescent="0.3">
      <c r="A824" s="225"/>
      <c r="B824" s="225"/>
      <c r="C824" s="225"/>
      <c r="D824" s="225"/>
      <c r="E824" s="225"/>
      <c r="F824" s="225"/>
      <c r="G824" s="225"/>
      <c r="H824" s="225"/>
      <c r="I824" s="225"/>
      <c r="J824" s="225"/>
      <c r="K824" s="225"/>
      <c r="L824" s="225"/>
      <c r="M824" s="225"/>
      <c r="N824" s="225"/>
      <c r="O824" s="225"/>
      <c r="P824" s="225"/>
      <c r="Q824" s="225"/>
      <c r="R824" s="225"/>
      <c r="S824" s="225"/>
      <c r="T824" s="225"/>
      <c r="U824" s="225"/>
      <c r="V824" s="225"/>
      <c r="W824" s="225"/>
      <c r="X824" s="225"/>
    </row>
    <row r="825" spans="1:24" ht="13.8" x14ac:dyDescent="0.3">
      <c r="A825" s="225"/>
      <c r="B825" s="225"/>
      <c r="C825" s="225"/>
      <c r="D825" s="225"/>
      <c r="E825" s="225"/>
      <c r="F825" s="225"/>
      <c r="G825" s="225"/>
      <c r="H825" s="225"/>
      <c r="I825" s="225"/>
      <c r="J825" s="225"/>
      <c r="K825" s="225"/>
      <c r="L825" s="225"/>
      <c r="M825" s="225"/>
      <c r="N825" s="225"/>
      <c r="O825" s="225"/>
      <c r="P825" s="225"/>
      <c r="Q825" s="225"/>
      <c r="R825" s="225"/>
      <c r="S825" s="225"/>
      <c r="T825" s="225"/>
      <c r="U825" s="225"/>
      <c r="V825" s="225"/>
      <c r="W825" s="225"/>
      <c r="X825" s="225"/>
    </row>
    <row r="826" spans="1:24" ht="13.8" x14ac:dyDescent="0.3">
      <c r="A826" s="225"/>
      <c r="B826" s="225"/>
      <c r="C826" s="225"/>
      <c r="D826" s="225"/>
      <c r="E826" s="225"/>
      <c r="F826" s="225"/>
      <c r="G826" s="225"/>
      <c r="H826" s="225"/>
      <c r="I826" s="225"/>
      <c r="J826" s="225"/>
      <c r="K826" s="225"/>
      <c r="L826" s="225"/>
      <c r="M826" s="225"/>
      <c r="N826" s="225"/>
      <c r="O826" s="225"/>
      <c r="P826" s="225"/>
      <c r="Q826" s="225"/>
      <c r="R826" s="225"/>
      <c r="S826" s="225"/>
      <c r="T826" s="225"/>
      <c r="U826" s="225"/>
      <c r="V826" s="225"/>
      <c r="W826" s="225"/>
      <c r="X826" s="225"/>
    </row>
    <row r="827" spans="1:24" ht="13.8" x14ac:dyDescent="0.3">
      <c r="A827" s="225"/>
      <c r="B827" s="225"/>
      <c r="C827" s="225"/>
      <c r="D827" s="225"/>
      <c r="E827" s="225"/>
      <c r="F827" s="225"/>
      <c r="G827" s="225"/>
      <c r="H827" s="225"/>
      <c r="I827" s="225"/>
      <c r="J827" s="225"/>
      <c r="K827" s="225"/>
      <c r="L827" s="225"/>
      <c r="M827" s="225"/>
      <c r="N827" s="225"/>
      <c r="O827" s="225"/>
      <c r="P827" s="225"/>
      <c r="Q827" s="225"/>
      <c r="R827" s="225"/>
      <c r="S827" s="225"/>
      <c r="T827" s="225"/>
      <c r="U827" s="225"/>
      <c r="V827" s="225"/>
      <c r="W827" s="225"/>
      <c r="X827" s="225"/>
    </row>
    <row r="828" spans="1:24" ht="13.8" x14ac:dyDescent="0.3">
      <c r="A828" s="225"/>
      <c r="B828" s="225"/>
      <c r="C828" s="225"/>
      <c r="D828" s="225"/>
      <c r="E828" s="225"/>
      <c r="F828" s="225"/>
      <c r="G828" s="225"/>
      <c r="H828" s="225"/>
      <c r="I828" s="225"/>
      <c r="J828" s="225"/>
      <c r="K828" s="225"/>
      <c r="L828" s="225"/>
      <c r="M828" s="225"/>
      <c r="N828" s="225"/>
      <c r="O828" s="225"/>
      <c r="P828" s="225"/>
      <c r="Q828" s="225"/>
      <c r="R828" s="225"/>
      <c r="S828" s="225"/>
      <c r="T828" s="225"/>
      <c r="U828" s="225"/>
      <c r="V828" s="225"/>
      <c r="W828" s="225"/>
      <c r="X828" s="225"/>
    </row>
    <row r="829" spans="1:24" ht="13.8" x14ac:dyDescent="0.3">
      <c r="A829" s="225"/>
      <c r="B829" s="225"/>
      <c r="C829" s="225"/>
      <c r="D829" s="225"/>
      <c r="E829" s="225"/>
      <c r="F829" s="225"/>
      <c r="G829" s="225"/>
      <c r="H829" s="225"/>
      <c r="I829" s="225"/>
      <c r="J829" s="225"/>
      <c r="K829" s="225"/>
      <c r="L829" s="225"/>
      <c r="M829" s="225"/>
      <c r="N829" s="225"/>
      <c r="O829" s="225"/>
      <c r="P829" s="225"/>
      <c r="Q829" s="225"/>
      <c r="R829" s="225"/>
      <c r="S829" s="225"/>
      <c r="T829" s="225"/>
      <c r="U829" s="225"/>
      <c r="V829" s="225"/>
      <c r="W829" s="225"/>
      <c r="X829" s="225"/>
    </row>
    <row r="830" spans="1:24" ht="13.8" x14ac:dyDescent="0.3">
      <c r="A830" s="225"/>
      <c r="B830" s="225"/>
      <c r="C830" s="225"/>
      <c r="D830" s="225"/>
      <c r="E830" s="225"/>
      <c r="F830" s="225"/>
      <c r="G830" s="225"/>
      <c r="H830" s="225"/>
      <c r="I830" s="225"/>
      <c r="J830" s="225"/>
      <c r="K830" s="225"/>
      <c r="L830" s="225"/>
      <c r="M830" s="225"/>
      <c r="N830" s="225"/>
      <c r="O830" s="225"/>
      <c r="P830" s="225"/>
      <c r="Q830" s="225"/>
      <c r="R830" s="225"/>
      <c r="S830" s="225"/>
      <c r="T830" s="225"/>
      <c r="U830" s="225"/>
      <c r="V830" s="225"/>
      <c r="W830" s="225"/>
      <c r="X830" s="225"/>
    </row>
    <row r="831" spans="1:24" ht="13.8" x14ac:dyDescent="0.3">
      <c r="A831" s="225"/>
      <c r="B831" s="225"/>
      <c r="C831" s="225"/>
      <c r="D831" s="225"/>
      <c r="E831" s="225"/>
      <c r="F831" s="225"/>
      <c r="G831" s="225"/>
      <c r="H831" s="225"/>
      <c r="I831" s="225"/>
      <c r="J831" s="225"/>
      <c r="K831" s="225"/>
      <c r="L831" s="225"/>
      <c r="M831" s="225"/>
      <c r="N831" s="225"/>
      <c r="O831" s="225"/>
      <c r="P831" s="225"/>
      <c r="Q831" s="225"/>
      <c r="R831" s="225"/>
      <c r="S831" s="225"/>
      <c r="T831" s="225"/>
      <c r="U831" s="225"/>
      <c r="V831" s="225"/>
      <c r="W831" s="225"/>
      <c r="X831" s="225"/>
    </row>
    <row r="832" spans="1:24" ht="13.8" x14ac:dyDescent="0.3">
      <c r="A832" s="225"/>
      <c r="B832" s="225"/>
      <c r="C832" s="225"/>
      <c r="D832" s="225"/>
      <c r="E832" s="225"/>
      <c r="F832" s="225"/>
      <c r="G832" s="225"/>
      <c r="H832" s="225"/>
      <c r="I832" s="225"/>
      <c r="J832" s="225"/>
      <c r="K832" s="225"/>
      <c r="L832" s="225"/>
      <c r="M832" s="225"/>
      <c r="N832" s="225"/>
      <c r="O832" s="225"/>
      <c r="P832" s="225"/>
      <c r="Q832" s="225"/>
      <c r="R832" s="225"/>
      <c r="S832" s="225"/>
      <c r="T832" s="225"/>
      <c r="U832" s="225"/>
      <c r="V832" s="225"/>
      <c r="W832" s="225"/>
      <c r="X832" s="225"/>
    </row>
    <row r="833" spans="1:24" ht="13.8" x14ac:dyDescent="0.3">
      <c r="A833" s="225"/>
      <c r="B833" s="225"/>
      <c r="C833" s="225"/>
      <c r="D833" s="225"/>
      <c r="E833" s="225"/>
      <c r="F833" s="225"/>
      <c r="G833" s="225"/>
      <c r="H833" s="225"/>
      <c r="I833" s="225"/>
      <c r="J833" s="225"/>
      <c r="K833" s="225"/>
      <c r="L833" s="225"/>
      <c r="M833" s="225"/>
      <c r="N833" s="225"/>
      <c r="O833" s="225"/>
      <c r="P833" s="225"/>
      <c r="Q833" s="225"/>
      <c r="R833" s="225"/>
      <c r="S833" s="225"/>
      <c r="T833" s="225"/>
      <c r="U833" s="225"/>
      <c r="V833" s="225"/>
      <c r="W833" s="225"/>
      <c r="X833" s="225"/>
    </row>
    <row r="834" spans="1:24" ht="13.8" x14ac:dyDescent="0.3">
      <c r="A834" s="225"/>
      <c r="B834" s="225"/>
      <c r="C834" s="225"/>
      <c r="D834" s="225"/>
      <c r="E834" s="225"/>
      <c r="F834" s="225"/>
      <c r="G834" s="225"/>
      <c r="H834" s="225"/>
      <c r="I834" s="225"/>
      <c r="J834" s="225"/>
      <c r="K834" s="225"/>
      <c r="L834" s="225"/>
      <c r="M834" s="225"/>
      <c r="N834" s="225"/>
      <c r="O834" s="225"/>
      <c r="P834" s="225"/>
      <c r="Q834" s="225"/>
      <c r="R834" s="225"/>
      <c r="S834" s="225"/>
      <c r="T834" s="225"/>
      <c r="U834" s="225"/>
      <c r="V834" s="225"/>
      <c r="W834" s="225"/>
      <c r="X834" s="225"/>
    </row>
    <row r="835" spans="1:24" ht="13.8" x14ac:dyDescent="0.3">
      <c r="A835" s="225"/>
      <c r="B835" s="225"/>
      <c r="C835" s="225"/>
      <c r="D835" s="225"/>
      <c r="E835" s="225"/>
      <c r="F835" s="225"/>
      <c r="G835" s="225"/>
      <c r="H835" s="225"/>
      <c r="I835" s="225"/>
      <c r="J835" s="225"/>
      <c r="K835" s="225"/>
      <c r="L835" s="225"/>
      <c r="M835" s="225"/>
      <c r="N835" s="225"/>
      <c r="O835" s="225"/>
      <c r="P835" s="225"/>
      <c r="Q835" s="225"/>
      <c r="R835" s="225"/>
      <c r="S835" s="225"/>
      <c r="T835" s="225"/>
      <c r="U835" s="225"/>
      <c r="V835" s="225"/>
      <c r="W835" s="225"/>
      <c r="X835" s="225"/>
    </row>
    <row r="836" spans="1:24" ht="13.8" x14ac:dyDescent="0.3">
      <c r="A836" s="225"/>
      <c r="B836" s="225"/>
      <c r="C836" s="225"/>
      <c r="D836" s="225"/>
      <c r="E836" s="225"/>
      <c r="F836" s="225"/>
      <c r="G836" s="225"/>
      <c r="H836" s="225"/>
      <c r="I836" s="225"/>
      <c r="J836" s="225"/>
      <c r="K836" s="225"/>
      <c r="L836" s="225"/>
      <c r="M836" s="225"/>
      <c r="N836" s="225"/>
      <c r="O836" s="225"/>
      <c r="P836" s="225"/>
      <c r="Q836" s="225"/>
      <c r="R836" s="225"/>
      <c r="S836" s="225"/>
      <c r="T836" s="225"/>
      <c r="U836" s="225"/>
      <c r="V836" s="225"/>
      <c r="W836" s="225"/>
      <c r="X836" s="225"/>
    </row>
    <row r="837" spans="1:24" ht="13.8" x14ac:dyDescent="0.3">
      <c r="A837" s="225"/>
      <c r="B837" s="225"/>
      <c r="C837" s="225"/>
      <c r="D837" s="225"/>
      <c r="E837" s="225"/>
      <c r="F837" s="225"/>
      <c r="G837" s="225"/>
      <c r="H837" s="225"/>
      <c r="I837" s="225"/>
      <c r="J837" s="225"/>
      <c r="K837" s="225"/>
      <c r="L837" s="225"/>
      <c r="M837" s="225"/>
      <c r="N837" s="225"/>
      <c r="O837" s="225"/>
      <c r="P837" s="225"/>
      <c r="Q837" s="225"/>
      <c r="R837" s="225"/>
      <c r="S837" s="225"/>
      <c r="T837" s="225"/>
      <c r="U837" s="225"/>
      <c r="V837" s="225"/>
      <c r="W837" s="225"/>
      <c r="X837" s="225"/>
    </row>
    <row r="838" spans="1:24" ht="13.8" x14ac:dyDescent="0.3">
      <c r="A838" s="225"/>
      <c r="B838" s="225"/>
      <c r="C838" s="225"/>
      <c r="D838" s="225"/>
      <c r="E838" s="225"/>
      <c r="F838" s="225"/>
      <c r="G838" s="225"/>
      <c r="H838" s="225"/>
      <c r="I838" s="225"/>
      <c r="J838" s="225"/>
      <c r="K838" s="225"/>
      <c r="L838" s="225"/>
      <c r="M838" s="225"/>
      <c r="N838" s="225"/>
      <c r="O838" s="225"/>
      <c r="P838" s="225"/>
      <c r="Q838" s="225"/>
      <c r="R838" s="225"/>
      <c r="S838" s="225"/>
      <c r="T838" s="225"/>
      <c r="U838" s="225"/>
      <c r="V838" s="225"/>
      <c r="W838" s="225"/>
      <c r="X838" s="225"/>
    </row>
    <row r="839" spans="1:24" ht="13.8" x14ac:dyDescent="0.3">
      <c r="A839" s="225"/>
      <c r="B839" s="225"/>
      <c r="C839" s="225"/>
      <c r="D839" s="225"/>
      <c r="E839" s="225"/>
      <c r="F839" s="225"/>
      <c r="G839" s="225"/>
      <c r="H839" s="225"/>
      <c r="I839" s="225"/>
      <c r="J839" s="225"/>
      <c r="K839" s="225"/>
      <c r="L839" s="225"/>
      <c r="M839" s="225"/>
      <c r="N839" s="225"/>
      <c r="O839" s="225"/>
      <c r="P839" s="225"/>
      <c r="Q839" s="225"/>
      <c r="R839" s="225"/>
      <c r="S839" s="225"/>
      <c r="T839" s="225"/>
      <c r="U839" s="225"/>
      <c r="V839" s="225"/>
      <c r="W839" s="225"/>
      <c r="X839" s="225"/>
    </row>
    <row r="840" spans="1:24" ht="13.8" x14ac:dyDescent="0.3">
      <c r="A840" s="225"/>
      <c r="B840" s="225"/>
      <c r="C840" s="225"/>
      <c r="D840" s="225"/>
      <c r="E840" s="225"/>
      <c r="F840" s="225"/>
      <c r="G840" s="225"/>
      <c r="H840" s="225"/>
      <c r="I840" s="225"/>
      <c r="J840" s="225"/>
      <c r="K840" s="225"/>
      <c r="L840" s="225"/>
      <c r="M840" s="225"/>
      <c r="N840" s="225"/>
      <c r="O840" s="225"/>
      <c r="P840" s="225"/>
      <c r="Q840" s="225"/>
      <c r="R840" s="225"/>
      <c r="S840" s="225"/>
      <c r="T840" s="225"/>
      <c r="U840" s="225"/>
      <c r="V840" s="225"/>
      <c r="W840" s="225"/>
      <c r="X840" s="225"/>
    </row>
    <row r="841" spans="1:24" ht="13.8" x14ac:dyDescent="0.3">
      <c r="A841" s="225"/>
      <c r="B841" s="225"/>
      <c r="C841" s="225"/>
      <c r="D841" s="225"/>
      <c r="E841" s="225"/>
      <c r="F841" s="225"/>
      <c r="G841" s="225"/>
      <c r="H841" s="225"/>
      <c r="I841" s="225"/>
      <c r="J841" s="225"/>
      <c r="K841" s="225"/>
      <c r="L841" s="225"/>
      <c r="M841" s="225"/>
      <c r="N841" s="225"/>
      <c r="O841" s="225"/>
      <c r="P841" s="225"/>
      <c r="Q841" s="225"/>
      <c r="R841" s="225"/>
      <c r="S841" s="225"/>
      <c r="T841" s="225"/>
      <c r="U841" s="225"/>
      <c r="V841" s="225"/>
      <c r="W841" s="225"/>
      <c r="X841" s="225"/>
    </row>
    <row r="842" spans="1:24" ht="13.8" x14ac:dyDescent="0.3">
      <c r="A842" s="225"/>
      <c r="B842" s="225"/>
      <c r="C842" s="225"/>
      <c r="D842" s="225"/>
      <c r="E842" s="225"/>
      <c r="F842" s="225"/>
      <c r="G842" s="225"/>
      <c r="H842" s="225"/>
      <c r="I842" s="225"/>
      <c r="J842" s="225"/>
      <c r="K842" s="225"/>
      <c r="L842" s="225"/>
      <c r="M842" s="225"/>
      <c r="N842" s="225"/>
      <c r="O842" s="225"/>
      <c r="P842" s="225"/>
      <c r="Q842" s="225"/>
      <c r="R842" s="225"/>
      <c r="S842" s="225"/>
      <c r="T842" s="225"/>
      <c r="U842" s="225"/>
      <c r="V842" s="225"/>
      <c r="W842" s="225"/>
      <c r="X842" s="225"/>
    </row>
    <row r="843" spans="1:24" ht="13.8" x14ac:dyDescent="0.3">
      <c r="A843" s="225"/>
      <c r="B843" s="225"/>
      <c r="C843" s="225"/>
      <c r="D843" s="225"/>
      <c r="E843" s="225"/>
      <c r="F843" s="225"/>
      <c r="G843" s="225"/>
      <c r="H843" s="225"/>
      <c r="I843" s="225"/>
      <c r="J843" s="225"/>
      <c r="K843" s="225"/>
      <c r="L843" s="225"/>
      <c r="M843" s="225"/>
      <c r="N843" s="225"/>
      <c r="O843" s="225"/>
      <c r="P843" s="225"/>
      <c r="Q843" s="225"/>
      <c r="R843" s="225"/>
      <c r="S843" s="225"/>
      <c r="T843" s="225"/>
      <c r="U843" s="225"/>
      <c r="V843" s="225"/>
      <c r="W843" s="225"/>
      <c r="X843" s="225"/>
    </row>
    <row r="844" spans="1:24" ht="13.8" x14ac:dyDescent="0.3">
      <c r="A844" s="225"/>
      <c r="B844" s="225"/>
      <c r="C844" s="225"/>
      <c r="D844" s="225"/>
      <c r="E844" s="225"/>
      <c r="F844" s="225"/>
      <c r="G844" s="225"/>
      <c r="H844" s="225"/>
      <c r="I844" s="225"/>
      <c r="J844" s="225"/>
      <c r="K844" s="225"/>
      <c r="L844" s="225"/>
      <c r="M844" s="225"/>
      <c r="N844" s="225"/>
      <c r="O844" s="225"/>
      <c r="P844" s="225"/>
      <c r="Q844" s="225"/>
      <c r="R844" s="225"/>
      <c r="S844" s="225"/>
      <c r="T844" s="225"/>
      <c r="U844" s="225"/>
      <c r="V844" s="225"/>
      <c r="W844" s="225"/>
      <c r="X844" s="225"/>
    </row>
    <row r="845" spans="1:24" ht="13.8" x14ac:dyDescent="0.3">
      <c r="A845" s="225"/>
      <c r="B845" s="225"/>
      <c r="C845" s="225"/>
      <c r="D845" s="225"/>
      <c r="E845" s="225"/>
      <c r="F845" s="225"/>
      <c r="G845" s="225"/>
      <c r="H845" s="225"/>
      <c r="I845" s="225"/>
      <c r="J845" s="225"/>
      <c r="K845" s="225"/>
      <c r="L845" s="225"/>
      <c r="M845" s="225"/>
      <c r="N845" s="225"/>
      <c r="O845" s="225"/>
      <c r="P845" s="225"/>
      <c r="Q845" s="225"/>
      <c r="R845" s="225"/>
      <c r="S845" s="225"/>
      <c r="T845" s="225"/>
      <c r="U845" s="225"/>
      <c r="V845" s="225"/>
      <c r="W845" s="225"/>
      <c r="X845" s="225"/>
    </row>
    <row r="846" spans="1:24" ht="13.8" x14ac:dyDescent="0.3">
      <c r="A846" s="225"/>
      <c r="B846" s="225"/>
      <c r="C846" s="225"/>
      <c r="D846" s="225"/>
      <c r="E846" s="225"/>
      <c r="F846" s="225"/>
      <c r="G846" s="225"/>
      <c r="H846" s="225"/>
      <c r="I846" s="225"/>
      <c r="J846" s="225"/>
      <c r="K846" s="225"/>
      <c r="L846" s="225"/>
      <c r="M846" s="225"/>
      <c r="N846" s="225"/>
      <c r="O846" s="225"/>
      <c r="P846" s="225"/>
      <c r="Q846" s="225"/>
      <c r="R846" s="225"/>
      <c r="S846" s="225"/>
      <c r="T846" s="225"/>
      <c r="U846" s="225"/>
      <c r="V846" s="225"/>
      <c r="W846" s="225"/>
      <c r="X846" s="225"/>
    </row>
    <row r="847" spans="1:24" ht="13.8" x14ac:dyDescent="0.3">
      <c r="A847" s="225"/>
      <c r="B847" s="225"/>
      <c r="C847" s="225"/>
      <c r="D847" s="225"/>
      <c r="E847" s="225"/>
      <c r="F847" s="225"/>
      <c r="G847" s="225"/>
      <c r="H847" s="225"/>
      <c r="I847" s="225"/>
      <c r="J847" s="225"/>
      <c r="K847" s="225"/>
      <c r="L847" s="225"/>
      <c r="M847" s="225"/>
      <c r="N847" s="225"/>
      <c r="O847" s="225"/>
      <c r="P847" s="225"/>
      <c r="Q847" s="225"/>
      <c r="R847" s="225"/>
      <c r="S847" s="225"/>
      <c r="T847" s="225"/>
      <c r="U847" s="225"/>
      <c r="V847" s="225"/>
      <c r="W847" s="225"/>
      <c r="X847" s="225"/>
    </row>
    <row r="848" spans="1:24" ht="13.8" x14ac:dyDescent="0.3">
      <c r="A848" s="225"/>
      <c r="B848" s="225"/>
      <c r="C848" s="225"/>
      <c r="D848" s="225"/>
      <c r="E848" s="225"/>
      <c r="F848" s="225"/>
      <c r="G848" s="225"/>
      <c r="H848" s="225"/>
      <c r="I848" s="225"/>
      <c r="J848" s="225"/>
      <c r="K848" s="225"/>
      <c r="L848" s="225"/>
      <c r="M848" s="225"/>
      <c r="N848" s="225"/>
      <c r="O848" s="225"/>
      <c r="P848" s="225"/>
      <c r="Q848" s="225"/>
      <c r="R848" s="225"/>
      <c r="S848" s="225"/>
      <c r="T848" s="225"/>
      <c r="U848" s="225"/>
      <c r="V848" s="225"/>
      <c r="W848" s="225"/>
      <c r="X848" s="225"/>
    </row>
    <row r="849" spans="1:24" ht="13.8" x14ac:dyDescent="0.3">
      <c r="A849" s="225"/>
      <c r="B849" s="225"/>
      <c r="C849" s="225"/>
      <c r="D849" s="225"/>
      <c r="E849" s="225"/>
      <c r="F849" s="225"/>
      <c r="G849" s="225"/>
      <c r="H849" s="225"/>
      <c r="I849" s="225"/>
      <c r="J849" s="225"/>
      <c r="K849" s="225"/>
      <c r="L849" s="225"/>
      <c r="M849" s="225"/>
      <c r="N849" s="225"/>
      <c r="O849" s="225"/>
      <c r="P849" s="225"/>
      <c r="Q849" s="225"/>
      <c r="R849" s="225"/>
      <c r="S849" s="225"/>
      <c r="T849" s="225"/>
      <c r="U849" s="225"/>
      <c r="V849" s="225"/>
      <c r="W849" s="225"/>
      <c r="X849" s="225"/>
    </row>
    <row r="850" spans="1:24" ht="13.8" x14ac:dyDescent="0.3">
      <c r="A850" s="225"/>
      <c r="B850" s="225"/>
      <c r="C850" s="225"/>
      <c r="D850" s="225"/>
      <c r="E850" s="225"/>
      <c r="F850" s="225"/>
      <c r="G850" s="225"/>
      <c r="H850" s="225"/>
      <c r="I850" s="225"/>
      <c r="J850" s="225"/>
      <c r="K850" s="225"/>
      <c r="L850" s="225"/>
      <c r="M850" s="225"/>
      <c r="N850" s="225"/>
      <c r="O850" s="225"/>
      <c r="P850" s="225"/>
      <c r="Q850" s="225"/>
      <c r="R850" s="225"/>
      <c r="S850" s="225"/>
      <c r="T850" s="225"/>
      <c r="U850" s="225"/>
      <c r="V850" s="225"/>
      <c r="W850" s="225"/>
      <c r="X850" s="225"/>
    </row>
    <row r="851" spans="1:24" ht="13.8" x14ac:dyDescent="0.3">
      <c r="A851" s="225"/>
      <c r="B851" s="225"/>
      <c r="C851" s="225"/>
      <c r="D851" s="225"/>
      <c r="E851" s="225"/>
      <c r="F851" s="225"/>
      <c r="G851" s="225"/>
      <c r="H851" s="225"/>
      <c r="I851" s="225"/>
      <c r="J851" s="225"/>
      <c r="K851" s="225"/>
      <c r="L851" s="225"/>
      <c r="M851" s="225"/>
      <c r="N851" s="225"/>
      <c r="O851" s="225"/>
      <c r="P851" s="225"/>
      <c r="Q851" s="225"/>
      <c r="R851" s="225"/>
      <c r="S851" s="225"/>
      <c r="T851" s="225"/>
      <c r="U851" s="225"/>
      <c r="V851" s="225"/>
      <c r="W851" s="225"/>
      <c r="X851" s="225"/>
    </row>
    <row r="852" spans="1:24" ht="13.8" x14ac:dyDescent="0.3">
      <c r="A852" s="225"/>
      <c r="B852" s="225"/>
      <c r="C852" s="225"/>
      <c r="D852" s="225"/>
      <c r="E852" s="225"/>
      <c r="F852" s="225"/>
      <c r="G852" s="225"/>
      <c r="H852" s="225"/>
      <c r="I852" s="225"/>
      <c r="J852" s="225"/>
      <c r="K852" s="225"/>
      <c r="L852" s="225"/>
      <c r="M852" s="225"/>
      <c r="N852" s="225"/>
      <c r="O852" s="225"/>
      <c r="P852" s="225"/>
      <c r="Q852" s="225"/>
      <c r="R852" s="225"/>
      <c r="S852" s="225"/>
      <c r="T852" s="225"/>
      <c r="U852" s="225"/>
      <c r="V852" s="225"/>
      <c r="W852" s="225"/>
      <c r="X852" s="225"/>
    </row>
    <row r="853" spans="1:24" ht="13.8" x14ac:dyDescent="0.3">
      <c r="A853" s="225"/>
      <c r="B853" s="225"/>
      <c r="C853" s="225"/>
      <c r="D853" s="225"/>
      <c r="E853" s="225"/>
      <c r="F853" s="225"/>
      <c r="G853" s="225"/>
      <c r="H853" s="225"/>
      <c r="I853" s="225"/>
      <c r="J853" s="225"/>
      <c r="K853" s="225"/>
      <c r="L853" s="225"/>
      <c r="M853" s="225"/>
      <c r="N853" s="225"/>
      <c r="O853" s="225"/>
      <c r="P853" s="225"/>
      <c r="Q853" s="225"/>
      <c r="R853" s="225"/>
      <c r="S853" s="225"/>
      <c r="T853" s="225"/>
      <c r="U853" s="225"/>
      <c r="V853" s="225"/>
      <c r="W853" s="225"/>
      <c r="X853" s="225"/>
    </row>
    <row r="854" spans="1:24" ht="13.8" x14ac:dyDescent="0.3">
      <c r="A854" s="225"/>
      <c r="B854" s="225"/>
      <c r="C854" s="225"/>
      <c r="D854" s="225"/>
      <c r="E854" s="225"/>
      <c r="F854" s="225"/>
      <c r="G854" s="225"/>
      <c r="H854" s="225"/>
      <c r="I854" s="225"/>
      <c r="J854" s="225"/>
      <c r="K854" s="225"/>
      <c r="L854" s="225"/>
      <c r="M854" s="225"/>
      <c r="N854" s="225"/>
      <c r="O854" s="225"/>
      <c r="P854" s="225"/>
      <c r="Q854" s="225"/>
      <c r="R854" s="225"/>
      <c r="S854" s="225"/>
      <c r="T854" s="225"/>
      <c r="U854" s="225"/>
      <c r="V854" s="225"/>
      <c r="W854" s="225"/>
      <c r="X854" s="225"/>
    </row>
    <row r="855" spans="1:24" ht="13.8" x14ac:dyDescent="0.3">
      <c r="A855" s="225"/>
      <c r="B855" s="225"/>
      <c r="C855" s="225"/>
      <c r="D855" s="225"/>
      <c r="E855" s="225"/>
      <c r="F855" s="225"/>
      <c r="G855" s="225"/>
      <c r="H855" s="225"/>
      <c r="I855" s="225"/>
      <c r="J855" s="225"/>
      <c r="K855" s="225"/>
      <c r="L855" s="225"/>
      <c r="M855" s="225"/>
      <c r="N855" s="225"/>
      <c r="O855" s="225"/>
      <c r="P855" s="225"/>
      <c r="Q855" s="225"/>
      <c r="R855" s="225"/>
      <c r="S855" s="225"/>
      <c r="T855" s="225"/>
      <c r="U855" s="225"/>
      <c r="V855" s="225"/>
      <c r="W855" s="225"/>
      <c r="X855" s="225"/>
    </row>
    <row r="856" spans="1:24" ht="13.8" x14ac:dyDescent="0.3">
      <c r="A856" s="225"/>
      <c r="B856" s="225"/>
      <c r="C856" s="225"/>
      <c r="D856" s="225"/>
      <c r="E856" s="225"/>
      <c r="F856" s="225"/>
      <c r="G856" s="225"/>
      <c r="H856" s="225"/>
      <c r="I856" s="225"/>
      <c r="J856" s="225"/>
      <c r="K856" s="225"/>
      <c r="L856" s="225"/>
      <c r="M856" s="225"/>
      <c r="N856" s="225"/>
      <c r="O856" s="225"/>
      <c r="P856" s="225"/>
      <c r="Q856" s="225"/>
      <c r="R856" s="225"/>
      <c r="S856" s="225"/>
      <c r="T856" s="225"/>
      <c r="U856" s="225"/>
      <c r="V856" s="225"/>
      <c r="W856" s="225"/>
      <c r="X856" s="225"/>
    </row>
    <row r="857" spans="1:24" ht="13.8" x14ac:dyDescent="0.3">
      <c r="A857" s="225"/>
      <c r="B857" s="225"/>
      <c r="C857" s="225"/>
      <c r="D857" s="225"/>
      <c r="E857" s="225"/>
      <c r="F857" s="225"/>
      <c r="G857" s="225"/>
      <c r="H857" s="225"/>
      <c r="I857" s="225"/>
      <c r="J857" s="225"/>
      <c r="K857" s="225"/>
      <c r="L857" s="225"/>
      <c r="M857" s="225"/>
      <c r="N857" s="225"/>
      <c r="O857" s="225"/>
      <c r="P857" s="225"/>
      <c r="Q857" s="225"/>
      <c r="R857" s="225"/>
      <c r="S857" s="225"/>
      <c r="T857" s="225"/>
      <c r="U857" s="225"/>
      <c r="V857" s="225"/>
      <c r="W857" s="225"/>
      <c r="X857" s="225"/>
    </row>
    <row r="858" spans="1:24" ht="13.8" x14ac:dyDescent="0.3">
      <c r="A858" s="225"/>
      <c r="B858" s="225"/>
      <c r="C858" s="225"/>
      <c r="D858" s="225"/>
      <c r="E858" s="225"/>
      <c r="F858" s="225"/>
      <c r="G858" s="225"/>
      <c r="H858" s="225"/>
      <c r="I858" s="225"/>
      <c r="J858" s="225"/>
      <c r="K858" s="225"/>
      <c r="L858" s="225"/>
      <c r="M858" s="225"/>
      <c r="N858" s="225"/>
      <c r="O858" s="225"/>
      <c r="P858" s="225"/>
      <c r="Q858" s="225"/>
      <c r="R858" s="225"/>
      <c r="S858" s="225"/>
      <c r="T858" s="225"/>
      <c r="U858" s="225"/>
      <c r="V858" s="225"/>
      <c r="W858" s="225"/>
      <c r="X858" s="225"/>
    </row>
    <row r="859" spans="1:24" ht="13.8" x14ac:dyDescent="0.3">
      <c r="A859" s="225"/>
      <c r="B859" s="225"/>
      <c r="C859" s="225"/>
      <c r="D859" s="225"/>
      <c r="E859" s="225"/>
      <c r="F859" s="225"/>
      <c r="G859" s="225"/>
      <c r="H859" s="225"/>
      <c r="I859" s="225"/>
      <c r="J859" s="225"/>
      <c r="K859" s="225"/>
      <c r="L859" s="225"/>
      <c r="M859" s="225"/>
      <c r="N859" s="225"/>
      <c r="O859" s="225"/>
      <c r="P859" s="225"/>
      <c r="Q859" s="225"/>
      <c r="R859" s="225"/>
      <c r="S859" s="225"/>
      <c r="T859" s="225"/>
      <c r="U859" s="225"/>
      <c r="V859" s="225"/>
      <c r="W859" s="225"/>
      <c r="X859" s="225"/>
    </row>
    <row r="860" spans="1:24" ht="13.8" x14ac:dyDescent="0.3">
      <c r="A860" s="225"/>
      <c r="B860" s="225"/>
      <c r="C860" s="225"/>
      <c r="D860" s="225"/>
      <c r="E860" s="225"/>
      <c r="F860" s="225"/>
      <c r="G860" s="225"/>
      <c r="H860" s="225"/>
      <c r="I860" s="225"/>
      <c r="J860" s="225"/>
      <c r="K860" s="225"/>
      <c r="L860" s="225"/>
      <c r="M860" s="225"/>
      <c r="N860" s="225"/>
      <c r="O860" s="225"/>
      <c r="P860" s="225"/>
      <c r="Q860" s="225"/>
      <c r="R860" s="225"/>
      <c r="S860" s="225"/>
      <c r="T860" s="225"/>
      <c r="U860" s="225"/>
      <c r="V860" s="225"/>
      <c r="W860" s="225"/>
      <c r="X860" s="225"/>
    </row>
    <row r="861" spans="1:24" ht="13.8" x14ac:dyDescent="0.3">
      <c r="A861" s="225"/>
      <c r="B861" s="225"/>
      <c r="C861" s="225"/>
      <c r="D861" s="225"/>
      <c r="E861" s="225"/>
      <c r="F861" s="225"/>
      <c r="G861" s="225"/>
      <c r="H861" s="225"/>
      <c r="I861" s="225"/>
      <c r="J861" s="225"/>
      <c r="K861" s="225"/>
      <c r="L861" s="225"/>
      <c r="M861" s="225"/>
      <c r="N861" s="225"/>
      <c r="O861" s="225"/>
      <c r="P861" s="225"/>
      <c r="Q861" s="225"/>
      <c r="R861" s="225"/>
      <c r="S861" s="225"/>
      <c r="T861" s="225"/>
      <c r="U861" s="225"/>
      <c r="V861" s="225"/>
      <c r="W861" s="225"/>
      <c r="X861" s="225"/>
    </row>
    <row r="862" spans="1:24" ht="13.8" x14ac:dyDescent="0.3">
      <c r="A862" s="225"/>
      <c r="B862" s="225"/>
      <c r="C862" s="225"/>
      <c r="D862" s="225"/>
      <c r="E862" s="225"/>
      <c r="F862" s="225"/>
      <c r="G862" s="225"/>
      <c r="H862" s="225"/>
      <c r="I862" s="225"/>
      <c r="J862" s="225"/>
      <c r="K862" s="225"/>
      <c r="L862" s="225"/>
      <c r="M862" s="225"/>
      <c r="N862" s="225"/>
      <c r="O862" s="225"/>
      <c r="P862" s="225"/>
      <c r="Q862" s="225"/>
      <c r="R862" s="225"/>
      <c r="S862" s="225"/>
      <c r="T862" s="225"/>
      <c r="U862" s="225"/>
      <c r="V862" s="225"/>
      <c r="W862" s="225"/>
      <c r="X862" s="225"/>
    </row>
    <row r="863" spans="1:24" ht="13.8" x14ac:dyDescent="0.3">
      <c r="A863" s="225"/>
      <c r="B863" s="225"/>
      <c r="C863" s="225"/>
      <c r="D863" s="225"/>
      <c r="E863" s="225"/>
      <c r="F863" s="225"/>
      <c r="G863" s="225"/>
      <c r="H863" s="225"/>
      <c r="I863" s="225"/>
      <c r="J863" s="225"/>
      <c r="K863" s="225"/>
      <c r="L863" s="225"/>
      <c r="M863" s="225"/>
      <c r="N863" s="225"/>
      <c r="O863" s="225"/>
      <c r="P863" s="225"/>
      <c r="Q863" s="225"/>
      <c r="R863" s="225"/>
      <c r="S863" s="225"/>
      <c r="T863" s="225"/>
      <c r="U863" s="225"/>
      <c r="V863" s="225"/>
      <c r="W863" s="225"/>
      <c r="X863" s="225"/>
    </row>
    <row r="864" spans="1:24" ht="13.8" x14ac:dyDescent="0.3">
      <c r="A864" s="225"/>
      <c r="B864" s="225"/>
      <c r="C864" s="225"/>
      <c r="D864" s="225"/>
      <c r="E864" s="225"/>
      <c r="F864" s="225"/>
      <c r="G864" s="225"/>
      <c r="H864" s="225"/>
      <c r="I864" s="225"/>
      <c r="J864" s="225"/>
      <c r="K864" s="225"/>
      <c r="L864" s="225"/>
      <c r="M864" s="225"/>
      <c r="N864" s="225"/>
      <c r="O864" s="225"/>
      <c r="P864" s="225"/>
      <c r="Q864" s="225"/>
      <c r="R864" s="225"/>
      <c r="S864" s="225"/>
      <c r="T864" s="225"/>
      <c r="U864" s="225"/>
      <c r="V864" s="225"/>
      <c r="W864" s="225"/>
      <c r="X864" s="225"/>
    </row>
    <row r="865" spans="1:24" ht="13.8" x14ac:dyDescent="0.3">
      <c r="A865" s="225"/>
      <c r="B865" s="225"/>
      <c r="C865" s="225"/>
      <c r="D865" s="225"/>
      <c r="E865" s="225"/>
      <c r="F865" s="225"/>
      <c r="G865" s="225"/>
      <c r="H865" s="225"/>
      <c r="I865" s="225"/>
      <c r="J865" s="225"/>
      <c r="K865" s="225"/>
      <c r="L865" s="225"/>
      <c r="M865" s="225"/>
      <c r="N865" s="225"/>
      <c r="O865" s="225"/>
      <c r="P865" s="225"/>
      <c r="Q865" s="225"/>
      <c r="R865" s="225"/>
      <c r="S865" s="225"/>
      <c r="T865" s="225"/>
      <c r="U865" s="225"/>
      <c r="V865" s="225"/>
      <c r="W865" s="225"/>
      <c r="X865" s="225"/>
    </row>
    <row r="866" spans="1:24" ht="13.8" x14ac:dyDescent="0.3">
      <c r="A866" s="225"/>
      <c r="B866" s="225"/>
      <c r="C866" s="225"/>
      <c r="D866" s="225"/>
      <c r="E866" s="225"/>
      <c r="F866" s="225"/>
      <c r="G866" s="225"/>
      <c r="H866" s="225"/>
      <c r="I866" s="225"/>
      <c r="J866" s="225"/>
      <c r="K866" s="225"/>
      <c r="L866" s="225"/>
      <c r="M866" s="225"/>
      <c r="N866" s="225"/>
      <c r="O866" s="225"/>
      <c r="P866" s="225"/>
      <c r="Q866" s="225"/>
      <c r="R866" s="225"/>
      <c r="S866" s="225"/>
      <c r="T866" s="225"/>
      <c r="U866" s="225"/>
      <c r="V866" s="225"/>
      <c r="W866" s="225"/>
      <c r="X866" s="225"/>
    </row>
    <row r="867" spans="1:24" ht="13.8" x14ac:dyDescent="0.3">
      <c r="A867" s="225"/>
      <c r="B867" s="225"/>
      <c r="C867" s="225"/>
      <c r="D867" s="225"/>
      <c r="E867" s="225"/>
      <c r="F867" s="225"/>
      <c r="G867" s="225"/>
      <c r="H867" s="225"/>
      <c r="I867" s="225"/>
      <c r="J867" s="225"/>
      <c r="K867" s="225"/>
      <c r="L867" s="225"/>
      <c r="M867" s="225"/>
      <c r="N867" s="225"/>
      <c r="O867" s="225"/>
      <c r="P867" s="225"/>
      <c r="Q867" s="225"/>
      <c r="R867" s="225"/>
      <c r="S867" s="225"/>
      <c r="T867" s="225"/>
      <c r="U867" s="225"/>
      <c r="V867" s="225"/>
      <c r="W867" s="225"/>
      <c r="X867" s="225"/>
    </row>
    <row r="868" spans="1:24" ht="13.8" x14ac:dyDescent="0.3">
      <c r="A868" s="225"/>
      <c r="B868" s="225"/>
      <c r="C868" s="225"/>
      <c r="D868" s="225"/>
      <c r="E868" s="225"/>
      <c r="F868" s="225"/>
      <c r="G868" s="225"/>
      <c r="H868" s="225"/>
      <c r="I868" s="225"/>
      <c r="J868" s="225"/>
      <c r="K868" s="225"/>
      <c r="L868" s="225"/>
      <c r="M868" s="225"/>
      <c r="N868" s="225"/>
      <c r="O868" s="225"/>
      <c r="P868" s="225"/>
      <c r="Q868" s="225"/>
      <c r="R868" s="225"/>
      <c r="S868" s="225"/>
      <c r="T868" s="225"/>
      <c r="U868" s="225"/>
      <c r="V868" s="225"/>
      <c r="W868" s="225"/>
      <c r="X868" s="225"/>
    </row>
    <row r="869" spans="1:24" ht="13.8" x14ac:dyDescent="0.3">
      <c r="A869" s="225"/>
      <c r="B869" s="225"/>
      <c r="C869" s="225"/>
      <c r="D869" s="225"/>
      <c r="E869" s="225"/>
      <c r="F869" s="225"/>
      <c r="G869" s="225"/>
      <c r="H869" s="225"/>
      <c r="I869" s="225"/>
      <c r="J869" s="225"/>
      <c r="K869" s="225"/>
      <c r="L869" s="225"/>
      <c r="M869" s="225"/>
      <c r="N869" s="225"/>
      <c r="O869" s="225"/>
      <c r="P869" s="225"/>
      <c r="Q869" s="225"/>
      <c r="R869" s="225"/>
      <c r="S869" s="225"/>
      <c r="T869" s="225"/>
      <c r="U869" s="225"/>
      <c r="V869" s="225"/>
      <c r="W869" s="225"/>
      <c r="X869" s="225"/>
    </row>
    <row r="870" spans="1:24" ht="13.8" x14ac:dyDescent="0.3">
      <c r="A870" s="225"/>
      <c r="B870" s="225"/>
      <c r="C870" s="225"/>
      <c r="D870" s="225"/>
      <c r="E870" s="225"/>
      <c r="F870" s="225"/>
      <c r="G870" s="225"/>
      <c r="H870" s="225"/>
      <c r="I870" s="225"/>
      <c r="J870" s="225"/>
      <c r="K870" s="225"/>
      <c r="L870" s="225"/>
      <c r="M870" s="225"/>
      <c r="N870" s="225"/>
      <c r="O870" s="225"/>
      <c r="P870" s="225"/>
      <c r="Q870" s="225"/>
      <c r="R870" s="225"/>
      <c r="S870" s="225"/>
      <c r="T870" s="225"/>
      <c r="U870" s="225"/>
      <c r="V870" s="225"/>
      <c r="W870" s="225"/>
      <c r="X870" s="225"/>
    </row>
    <row r="871" spans="1:24" ht="13.8" x14ac:dyDescent="0.3">
      <c r="A871" s="225"/>
      <c r="B871" s="225"/>
      <c r="C871" s="225"/>
      <c r="D871" s="225"/>
      <c r="E871" s="225"/>
      <c r="F871" s="225"/>
      <c r="G871" s="225"/>
      <c r="H871" s="225"/>
      <c r="I871" s="225"/>
      <c r="J871" s="225"/>
      <c r="K871" s="225"/>
      <c r="L871" s="225"/>
      <c r="M871" s="225"/>
      <c r="N871" s="225"/>
      <c r="O871" s="225"/>
      <c r="P871" s="225"/>
      <c r="Q871" s="225"/>
      <c r="R871" s="225"/>
      <c r="S871" s="225"/>
      <c r="T871" s="225"/>
      <c r="U871" s="225"/>
      <c r="V871" s="225"/>
      <c r="W871" s="225"/>
      <c r="X871" s="225"/>
    </row>
    <row r="872" spans="1:24" ht="13.8" x14ac:dyDescent="0.3">
      <c r="A872" s="225"/>
      <c r="B872" s="225"/>
      <c r="C872" s="225"/>
      <c r="D872" s="225"/>
      <c r="E872" s="225"/>
      <c r="F872" s="225"/>
      <c r="G872" s="225"/>
      <c r="H872" s="225"/>
      <c r="I872" s="225"/>
      <c r="J872" s="225"/>
      <c r="K872" s="225"/>
      <c r="L872" s="225"/>
      <c r="M872" s="225"/>
      <c r="N872" s="225"/>
      <c r="O872" s="225"/>
      <c r="P872" s="225"/>
      <c r="Q872" s="225"/>
      <c r="R872" s="225"/>
      <c r="S872" s="225"/>
      <c r="T872" s="225"/>
      <c r="U872" s="225"/>
      <c r="V872" s="225"/>
      <c r="W872" s="225"/>
      <c r="X872" s="225"/>
    </row>
    <row r="873" spans="1:24" ht="13.8" x14ac:dyDescent="0.3">
      <c r="A873" s="225"/>
      <c r="B873" s="225"/>
      <c r="C873" s="225"/>
      <c r="D873" s="225"/>
      <c r="E873" s="225"/>
      <c r="F873" s="225"/>
      <c r="G873" s="225"/>
      <c r="H873" s="225"/>
      <c r="I873" s="225"/>
      <c r="J873" s="225"/>
      <c r="K873" s="225"/>
      <c r="L873" s="225"/>
      <c r="M873" s="225"/>
      <c r="N873" s="225"/>
      <c r="O873" s="225"/>
      <c r="P873" s="225"/>
      <c r="Q873" s="225"/>
      <c r="R873" s="225"/>
      <c r="S873" s="225"/>
      <c r="T873" s="225"/>
      <c r="U873" s="225"/>
      <c r="V873" s="225"/>
      <c r="W873" s="225"/>
      <c r="X873" s="225"/>
    </row>
    <row r="874" spans="1:24" ht="13.8" x14ac:dyDescent="0.3">
      <c r="A874" s="225"/>
      <c r="B874" s="225"/>
      <c r="C874" s="225"/>
      <c r="D874" s="225"/>
      <c r="E874" s="225"/>
      <c r="F874" s="225"/>
      <c r="G874" s="225"/>
      <c r="H874" s="225"/>
      <c r="I874" s="225"/>
      <c r="J874" s="225"/>
      <c r="K874" s="225"/>
      <c r="L874" s="225"/>
      <c r="M874" s="225"/>
      <c r="N874" s="225"/>
      <c r="O874" s="225"/>
      <c r="P874" s="225"/>
      <c r="Q874" s="225"/>
      <c r="R874" s="225"/>
      <c r="S874" s="225"/>
      <c r="T874" s="225"/>
      <c r="U874" s="225"/>
      <c r="V874" s="225"/>
      <c r="W874" s="225"/>
      <c r="X874" s="225"/>
    </row>
    <row r="875" spans="1:24" ht="13.8" x14ac:dyDescent="0.3">
      <c r="A875" s="225"/>
      <c r="B875" s="225"/>
      <c r="C875" s="225"/>
      <c r="D875" s="225"/>
      <c r="E875" s="225"/>
      <c r="F875" s="225"/>
      <c r="G875" s="225"/>
      <c r="H875" s="225"/>
      <c r="I875" s="225"/>
      <c r="J875" s="225"/>
      <c r="K875" s="225"/>
      <c r="L875" s="225"/>
      <c r="M875" s="225"/>
      <c r="N875" s="225"/>
      <c r="O875" s="225"/>
      <c r="P875" s="225"/>
      <c r="Q875" s="225"/>
      <c r="R875" s="225"/>
      <c r="S875" s="225"/>
      <c r="T875" s="225"/>
      <c r="U875" s="225"/>
      <c r="V875" s="225"/>
      <c r="W875" s="225"/>
      <c r="X875" s="225"/>
    </row>
    <row r="876" spans="1:24" ht="13.8" x14ac:dyDescent="0.3">
      <c r="A876" s="225"/>
      <c r="B876" s="225"/>
      <c r="C876" s="225"/>
      <c r="D876" s="225"/>
      <c r="E876" s="225"/>
      <c r="F876" s="225"/>
      <c r="G876" s="225"/>
      <c r="H876" s="225"/>
      <c r="I876" s="225"/>
      <c r="J876" s="225"/>
      <c r="K876" s="225"/>
      <c r="L876" s="225"/>
      <c r="M876" s="225"/>
      <c r="N876" s="225"/>
      <c r="O876" s="225"/>
      <c r="P876" s="225"/>
      <c r="Q876" s="225"/>
      <c r="R876" s="225"/>
      <c r="S876" s="225"/>
      <c r="T876" s="225"/>
      <c r="U876" s="225"/>
      <c r="V876" s="225"/>
      <c r="W876" s="225"/>
      <c r="X876" s="225"/>
    </row>
    <row r="877" spans="1:24" ht="13.8" x14ac:dyDescent="0.3">
      <c r="A877" s="225"/>
      <c r="B877" s="225"/>
      <c r="C877" s="225"/>
      <c r="D877" s="225"/>
      <c r="E877" s="225"/>
      <c r="F877" s="225"/>
      <c r="G877" s="225"/>
      <c r="H877" s="225"/>
      <c r="I877" s="225"/>
      <c r="J877" s="225"/>
      <c r="K877" s="225"/>
      <c r="L877" s="225"/>
      <c r="M877" s="225"/>
      <c r="N877" s="225"/>
      <c r="O877" s="225"/>
      <c r="P877" s="225"/>
      <c r="Q877" s="225"/>
      <c r="R877" s="225"/>
      <c r="S877" s="225"/>
      <c r="T877" s="225"/>
      <c r="U877" s="225"/>
      <c r="V877" s="225"/>
      <c r="W877" s="225"/>
      <c r="X877" s="225"/>
    </row>
    <row r="878" spans="1:24" ht="13.8" x14ac:dyDescent="0.3">
      <c r="A878" s="225"/>
      <c r="B878" s="225"/>
      <c r="C878" s="225"/>
      <c r="D878" s="225"/>
      <c r="E878" s="225"/>
      <c r="F878" s="225"/>
      <c r="G878" s="225"/>
      <c r="H878" s="225"/>
      <c r="I878" s="225"/>
      <c r="J878" s="225"/>
      <c r="K878" s="225"/>
      <c r="L878" s="225"/>
      <c r="M878" s="225"/>
      <c r="N878" s="225"/>
      <c r="O878" s="225"/>
      <c r="P878" s="225"/>
      <c r="Q878" s="225"/>
      <c r="R878" s="225"/>
      <c r="S878" s="225"/>
      <c r="T878" s="225"/>
      <c r="U878" s="225"/>
      <c r="V878" s="225"/>
      <c r="W878" s="225"/>
      <c r="X878" s="225"/>
    </row>
    <row r="879" spans="1:24" ht="13.8" x14ac:dyDescent="0.3">
      <c r="A879" s="225"/>
      <c r="B879" s="225"/>
      <c r="C879" s="225"/>
      <c r="D879" s="225"/>
      <c r="E879" s="225"/>
      <c r="F879" s="225"/>
      <c r="G879" s="225"/>
      <c r="H879" s="225"/>
      <c r="I879" s="225"/>
      <c r="J879" s="225"/>
      <c r="K879" s="225"/>
      <c r="L879" s="225"/>
      <c r="M879" s="225"/>
      <c r="N879" s="225"/>
      <c r="O879" s="225"/>
      <c r="P879" s="225"/>
      <c r="Q879" s="225"/>
      <c r="R879" s="225"/>
      <c r="S879" s="225"/>
      <c r="T879" s="225"/>
      <c r="U879" s="225"/>
      <c r="V879" s="225"/>
      <c r="W879" s="225"/>
      <c r="X879" s="225"/>
    </row>
    <row r="880" spans="1:24" ht="13.8" x14ac:dyDescent="0.3">
      <c r="A880" s="225"/>
      <c r="B880" s="225"/>
      <c r="C880" s="225"/>
      <c r="D880" s="225"/>
      <c r="E880" s="225"/>
      <c r="F880" s="225"/>
      <c r="G880" s="225"/>
      <c r="H880" s="225"/>
      <c r="I880" s="225"/>
      <c r="J880" s="225"/>
      <c r="K880" s="225"/>
      <c r="L880" s="225"/>
      <c r="M880" s="225"/>
      <c r="N880" s="225"/>
      <c r="O880" s="225"/>
      <c r="P880" s="225"/>
      <c r="Q880" s="225"/>
      <c r="R880" s="225"/>
      <c r="S880" s="225"/>
      <c r="T880" s="225"/>
      <c r="U880" s="225"/>
      <c r="V880" s="225"/>
      <c r="W880" s="225"/>
      <c r="X880" s="225"/>
    </row>
    <row r="881" spans="1:24" ht="13.8" x14ac:dyDescent="0.3">
      <c r="A881" s="225"/>
      <c r="B881" s="225"/>
      <c r="C881" s="225"/>
      <c r="D881" s="225"/>
      <c r="E881" s="225"/>
      <c r="F881" s="225"/>
      <c r="G881" s="225"/>
      <c r="H881" s="225"/>
      <c r="I881" s="225"/>
      <c r="J881" s="225"/>
      <c r="K881" s="225"/>
      <c r="L881" s="225"/>
      <c r="M881" s="225"/>
      <c r="N881" s="225"/>
      <c r="O881" s="225"/>
      <c r="P881" s="225"/>
      <c r="Q881" s="225"/>
      <c r="R881" s="225"/>
      <c r="S881" s="225"/>
      <c r="T881" s="225"/>
      <c r="U881" s="225"/>
      <c r="V881" s="225"/>
      <c r="W881" s="225"/>
      <c r="X881" s="225"/>
    </row>
    <row r="882" spans="1:24" ht="13.8" x14ac:dyDescent="0.3">
      <c r="A882" s="225"/>
      <c r="B882" s="225"/>
      <c r="C882" s="225"/>
      <c r="D882" s="225"/>
      <c r="E882" s="225"/>
      <c r="F882" s="225"/>
      <c r="G882" s="225"/>
      <c r="H882" s="225"/>
      <c r="I882" s="225"/>
      <c r="J882" s="225"/>
      <c r="K882" s="225"/>
      <c r="L882" s="225"/>
      <c r="M882" s="225"/>
      <c r="N882" s="225"/>
      <c r="O882" s="225"/>
      <c r="P882" s="225"/>
      <c r="Q882" s="225"/>
      <c r="R882" s="225"/>
      <c r="S882" s="225"/>
      <c r="T882" s="225"/>
      <c r="U882" s="225"/>
      <c r="V882" s="225"/>
      <c r="W882" s="225"/>
      <c r="X882" s="225"/>
    </row>
    <row r="883" spans="1:24" ht="13.8" x14ac:dyDescent="0.3">
      <c r="A883" s="225"/>
      <c r="B883" s="225"/>
      <c r="C883" s="225"/>
      <c r="D883" s="225"/>
      <c r="E883" s="225"/>
      <c r="F883" s="225"/>
      <c r="G883" s="225"/>
      <c r="H883" s="225"/>
      <c r="I883" s="225"/>
      <c r="J883" s="225"/>
      <c r="K883" s="225"/>
      <c r="L883" s="225"/>
      <c r="M883" s="225"/>
      <c r="N883" s="225"/>
      <c r="O883" s="225"/>
      <c r="P883" s="225"/>
      <c r="Q883" s="225"/>
      <c r="R883" s="225"/>
      <c r="S883" s="225"/>
      <c r="T883" s="225"/>
      <c r="U883" s="225"/>
      <c r="V883" s="225"/>
      <c r="W883" s="225"/>
      <c r="X883" s="225"/>
    </row>
    <row r="884" spans="1:24" ht="13.8" x14ac:dyDescent="0.3">
      <c r="A884" s="225"/>
      <c r="B884" s="225"/>
      <c r="C884" s="225"/>
      <c r="D884" s="225"/>
      <c r="E884" s="225"/>
      <c r="F884" s="225"/>
      <c r="G884" s="225"/>
      <c r="H884" s="225"/>
      <c r="I884" s="225"/>
      <c r="J884" s="225"/>
      <c r="K884" s="225"/>
      <c r="L884" s="225"/>
      <c r="M884" s="225"/>
      <c r="N884" s="225"/>
      <c r="O884" s="225"/>
      <c r="P884" s="225"/>
      <c r="Q884" s="225"/>
      <c r="R884" s="225"/>
      <c r="S884" s="225"/>
      <c r="T884" s="225"/>
      <c r="U884" s="225"/>
      <c r="V884" s="225"/>
      <c r="W884" s="225"/>
      <c r="X884" s="225"/>
    </row>
    <row r="885" spans="1:24" ht="13.8" x14ac:dyDescent="0.3">
      <c r="A885" s="225"/>
      <c r="B885" s="225"/>
      <c r="C885" s="225"/>
      <c r="D885" s="225"/>
      <c r="E885" s="225"/>
      <c r="F885" s="225"/>
      <c r="G885" s="225"/>
      <c r="H885" s="225"/>
      <c r="I885" s="225"/>
      <c r="J885" s="225"/>
      <c r="K885" s="225"/>
      <c r="L885" s="225"/>
      <c r="M885" s="225"/>
      <c r="N885" s="225"/>
      <c r="O885" s="225"/>
      <c r="P885" s="225"/>
      <c r="Q885" s="225"/>
      <c r="R885" s="225"/>
      <c r="S885" s="225"/>
      <c r="T885" s="225"/>
      <c r="U885" s="225"/>
      <c r="V885" s="225"/>
      <c r="W885" s="225"/>
      <c r="X885" s="225"/>
    </row>
    <row r="886" spans="1:24" ht="13.8" x14ac:dyDescent="0.3">
      <c r="A886" s="225"/>
      <c r="B886" s="225"/>
      <c r="C886" s="225"/>
      <c r="D886" s="225"/>
      <c r="E886" s="225"/>
      <c r="F886" s="225"/>
      <c r="G886" s="225"/>
      <c r="H886" s="225"/>
      <c r="I886" s="225"/>
      <c r="J886" s="225"/>
      <c r="K886" s="225"/>
      <c r="L886" s="225"/>
      <c r="M886" s="225"/>
      <c r="N886" s="225"/>
      <c r="O886" s="225"/>
      <c r="P886" s="225"/>
      <c r="Q886" s="225"/>
      <c r="R886" s="225"/>
      <c r="S886" s="225"/>
      <c r="T886" s="225"/>
      <c r="U886" s="225"/>
      <c r="V886" s="225"/>
      <c r="W886" s="225"/>
      <c r="X886" s="225"/>
    </row>
    <row r="887" spans="1:24" ht="13.8" x14ac:dyDescent="0.3">
      <c r="A887" s="225"/>
      <c r="B887" s="225"/>
      <c r="C887" s="225"/>
      <c r="D887" s="225"/>
      <c r="E887" s="225"/>
      <c r="F887" s="225"/>
      <c r="G887" s="225"/>
      <c r="H887" s="225"/>
      <c r="I887" s="225"/>
      <c r="J887" s="225"/>
      <c r="K887" s="225"/>
      <c r="L887" s="225"/>
      <c r="M887" s="225"/>
      <c r="N887" s="225"/>
      <c r="O887" s="225"/>
      <c r="P887" s="225"/>
      <c r="Q887" s="225"/>
      <c r="R887" s="225"/>
      <c r="S887" s="225"/>
      <c r="T887" s="225"/>
      <c r="U887" s="225"/>
      <c r="V887" s="225"/>
      <c r="W887" s="225"/>
      <c r="X887" s="225"/>
    </row>
    <row r="888" spans="1:24" ht="13.8" x14ac:dyDescent="0.3">
      <c r="A888" s="225"/>
      <c r="B888" s="225"/>
      <c r="C888" s="225"/>
      <c r="D888" s="225"/>
      <c r="E888" s="225"/>
      <c r="F888" s="225"/>
      <c r="G888" s="225"/>
      <c r="H888" s="225"/>
      <c r="I888" s="225"/>
      <c r="J888" s="225"/>
      <c r="K888" s="225"/>
      <c r="L888" s="225"/>
      <c r="M888" s="225"/>
      <c r="N888" s="225"/>
      <c r="O888" s="225"/>
      <c r="P888" s="225"/>
      <c r="Q888" s="225"/>
      <c r="R888" s="225"/>
      <c r="S888" s="225"/>
      <c r="T888" s="225"/>
      <c r="U888" s="225"/>
      <c r="V888" s="225"/>
      <c r="W888" s="225"/>
      <c r="X888" s="225"/>
    </row>
    <row r="889" spans="1:24" ht="13.8" x14ac:dyDescent="0.3">
      <c r="A889" s="225"/>
      <c r="B889" s="225"/>
      <c r="C889" s="225"/>
      <c r="D889" s="225"/>
      <c r="E889" s="225"/>
      <c r="F889" s="225"/>
      <c r="G889" s="225"/>
      <c r="H889" s="225"/>
      <c r="I889" s="225"/>
      <c r="J889" s="225"/>
      <c r="K889" s="225"/>
      <c r="L889" s="225"/>
      <c r="M889" s="225"/>
      <c r="N889" s="225"/>
      <c r="O889" s="225"/>
      <c r="P889" s="225"/>
      <c r="Q889" s="225"/>
      <c r="R889" s="225"/>
      <c r="S889" s="225"/>
      <c r="T889" s="225"/>
      <c r="U889" s="225"/>
      <c r="V889" s="225"/>
      <c r="W889" s="225"/>
      <c r="X889" s="225"/>
    </row>
    <row r="890" spans="1:24" ht="13.8" x14ac:dyDescent="0.3">
      <c r="A890" s="225"/>
      <c r="B890" s="225"/>
      <c r="C890" s="225"/>
      <c r="D890" s="225"/>
      <c r="E890" s="225"/>
      <c r="F890" s="225"/>
      <c r="G890" s="225"/>
      <c r="H890" s="225"/>
      <c r="I890" s="225"/>
      <c r="J890" s="225"/>
      <c r="K890" s="225"/>
      <c r="L890" s="225"/>
      <c r="M890" s="225"/>
      <c r="N890" s="225"/>
      <c r="O890" s="225"/>
      <c r="P890" s="225"/>
      <c r="Q890" s="225"/>
      <c r="R890" s="225"/>
      <c r="S890" s="225"/>
      <c r="T890" s="225"/>
      <c r="U890" s="225"/>
      <c r="V890" s="225"/>
      <c r="W890" s="225"/>
      <c r="X890" s="225"/>
    </row>
    <row r="891" spans="1:24" ht="13.8" x14ac:dyDescent="0.3">
      <c r="A891" s="225"/>
      <c r="B891" s="225"/>
      <c r="C891" s="225"/>
      <c r="D891" s="225"/>
      <c r="E891" s="225"/>
      <c r="F891" s="225"/>
      <c r="G891" s="225"/>
      <c r="H891" s="225"/>
      <c r="I891" s="225"/>
      <c r="J891" s="225"/>
      <c r="K891" s="225"/>
      <c r="L891" s="225"/>
      <c r="M891" s="225"/>
      <c r="N891" s="225"/>
      <c r="O891" s="225"/>
      <c r="P891" s="225"/>
      <c r="Q891" s="225"/>
      <c r="R891" s="225"/>
      <c r="S891" s="225"/>
      <c r="T891" s="225"/>
      <c r="U891" s="225"/>
      <c r="V891" s="225"/>
      <c r="W891" s="225"/>
      <c r="X891" s="225"/>
    </row>
    <row r="892" spans="1:24" ht="13.8" x14ac:dyDescent="0.3">
      <c r="A892" s="225"/>
      <c r="B892" s="225"/>
      <c r="C892" s="225"/>
      <c r="D892" s="225"/>
      <c r="E892" s="225"/>
      <c r="F892" s="225"/>
      <c r="G892" s="225"/>
      <c r="H892" s="225"/>
      <c r="I892" s="225"/>
      <c r="J892" s="225"/>
      <c r="K892" s="225"/>
      <c r="L892" s="225"/>
      <c r="M892" s="225"/>
      <c r="N892" s="225"/>
      <c r="O892" s="225"/>
      <c r="P892" s="225"/>
      <c r="Q892" s="225"/>
      <c r="R892" s="225"/>
      <c r="S892" s="225"/>
      <c r="T892" s="225"/>
      <c r="U892" s="225"/>
      <c r="V892" s="225"/>
      <c r="W892" s="225"/>
      <c r="X892" s="225"/>
    </row>
    <row r="893" spans="1:24" ht="13.8" x14ac:dyDescent="0.3">
      <c r="A893" s="225"/>
      <c r="B893" s="225"/>
      <c r="C893" s="225"/>
      <c r="D893" s="225"/>
      <c r="E893" s="225"/>
      <c r="F893" s="225"/>
      <c r="G893" s="225"/>
      <c r="H893" s="225"/>
      <c r="I893" s="225"/>
      <c r="J893" s="225"/>
      <c r="K893" s="225"/>
      <c r="L893" s="225"/>
      <c r="M893" s="225"/>
      <c r="N893" s="225"/>
      <c r="O893" s="225"/>
      <c r="P893" s="225"/>
      <c r="Q893" s="225"/>
      <c r="R893" s="225"/>
      <c r="S893" s="225"/>
      <c r="T893" s="225"/>
      <c r="U893" s="225"/>
      <c r="V893" s="225"/>
      <c r="W893" s="225"/>
      <c r="X893" s="225"/>
    </row>
    <row r="894" spans="1:24" ht="13.8" x14ac:dyDescent="0.3">
      <c r="A894" s="225"/>
      <c r="B894" s="225"/>
      <c r="C894" s="225"/>
      <c r="D894" s="225"/>
      <c r="E894" s="225"/>
      <c r="F894" s="225"/>
      <c r="G894" s="225"/>
      <c r="H894" s="225"/>
      <c r="I894" s="225"/>
      <c r="J894" s="225"/>
      <c r="K894" s="225"/>
      <c r="L894" s="225"/>
      <c r="M894" s="225"/>
      <c r="N894" s="225"/>
      <c r="O894" s="225"/>
      <c r="P894" s="225"/>
      <c r="Q894" s="225"/>
      <c r="R894" s="225"/>
      <c r="S894" s="225"/>
      <c r="T894" s="225"/>
      <c r="U894" s="225"/>
      <c r="V894" s="225"/>
      <c r="W894" s="225"/>
      <c r="X894" s="225"/>
    </row>
    <row r="895" spans="1:24" ht="13.8" x14ac:dyDescent="0.3">
      <c r="A895" s="225"/>
      <c r="B895" s="225"/>
      <c r="C895" s="225"/>
      <c r="D895" s="225"/>
      <c r="E895" s="225"/>
      <c r="F895" s="225"/>
      <c r="G895" s="225"/>
      <c r="H895" s="225"/>
      <c r="I895" s="225"/>
      <c r="J895" s="225"/>
      <c r="K895" s="225"/>
      <c r="L895" s="225"/>
      <c r="M895" s="225"/>
      <c r="N895" s="225"/>
      <c r="O895" s="225"/>
      <c r="P895" s="225"/>
      <c r="Q895" s="225"/>
      <c r="R895" s="225"/>
      <c r="S895" s="225"/>
      <c r="T895" s="225"/>
      <c r="U895" s="225"/>
      <c r="V895" s="225"/>
      <c r="W895" s="225"/>
      <c r="X895" s="225"/>
    </row>
    <row r="896" spans="1:24" ht="13.8" x14ac:dyDescent="0.3">
      <c r="A896" s="225"/>
      <c r="B896" s="225"/>
      <c r="C896" s="225"/>
      <c r="D896" s="225"/>
      <c r="E896" s="225"/>
      <c r="F896" s="225"/>
      <c r="G896" s="225"/>
      <c r="H896" s="225"/>
      <c r="I896" s="225"/>
      <c r="J896" s="225"/>
      <c r="K896" s="225"/>
      <c r="L896" s="225"/>
      <c r="M896" s="225"/>
      <c r="N896" s="225"/>
      <c r="O896" s="225"/>
      <c r="P896" s="225"/>
      <c r="Q896" s="225"/>
      <c r="R896" s="225"/>
      <c r="S896" s="225"/>
      <c r="T896" s="225"/>
      <c r="U896" s="225"/>
      <c r="V896" s="225"/>
      <c r="W896" s="225"/>
      <c r="X896" s="225"/>
    </row>
    <row r="897" spans="1:24" ht="13.8" x14ac:dyDescent="0.3">
      <c r="A897" s="225"/>
      <c r="B897" s="225"/>
      <c r="C897" s="225"/>
      <c r="D897" s="225"/>
      <c r="E897" s="225"/>
      <c r="F897" s="225"/>
      <c r="G897" s="225"/>
      <c r="H897" s="225"/>
      <c r="I897" s="225"/>
      <c r="J897" s="225"/>
      <c r="K897" s="225"/>
      <c r="L897" s="225"/>
      <c r="M897" s="225"/>
      <c r="N897" s="225"/>
      <c r="O897" s="225"/>
      <c r="P897" s="225"/>
      <c r="Q897" s="225"/>
      <c r="R897" s="225"/>
      <c r="S897" s="225"/>
      <c r="T897" s="225"/>
      <c r="U897" s="225"/>
      <c r="V897" s="225"/>
      <c r="W897" s="225"/>
      <c r="X897" s="225"/>
    </row>
    <row r="898" spans="1:24" ht="13.8" x14ac:dyDescent="0.3">
      <c r="A898" s="225"/>
      <c r="B898" s="225"/>
      <c r="C898" s="225"/>
      <c r="D898" s="225"/>
      <c r="E898" s="225"/>
      <c r="F898" s="225"/>
      <c r="G898" s="225"/>
      <c r="H898" s="225"/>
      <c r="I898" s="225"/>
      <c r="J898" s="225"/>
      <c r="K898" s="225"/>
      <c r="L898" s="225"/>
      <c r="M898" s="225"/>
      <c r="N898" s="225"/>
      <c r="O898" s="225"/>
      <c r="P898" s="225"/>
      <c r="Q898" s="225"/>
      <c r="R898" s="225"/>
      <c r="S898" s="225"/>
      <c r="T898" s="225"/>
      <c r="U898" s="225"/>
      <c r="V898" s="225"/>
      <c r="W898" s="225"/>
      <c r="X898" s="225"/>
    </row>
    <row r="899" spans="1:24" ht="13.8" x14ac:dyDescent="0.3">
      <c r="A899" s="225"/>
      <c r="B899" s="225"/>
      <c r="C899" s="225"/>
      <c r="D899" s="225"/>
      <c r="E899" s="225"/>
      <c r="F899" s="225"/>
      <c r="G899" s="225"/>
      <c r="H899" s="225"/>
      <c r="I899" s="225"/>
      <c r="J899" s="225"/>
      <c r="K899" s="225"/>
      <c r="L899" s="225"/>
      <c r="M899" s="225"/>
      <c r="N899" s="225"/>
      <c r="O899" s="225"/>
      <c r="P899" s="225"/>
      <c r="Q899" s="225"/>
      <c r="R899" s="225"/>
      <c r="S899" s="225"/>
      <c r="T899" s="225"/>
      <c r="U899" s="225"/>
      <c r="V899" s="225"/>
      <c r="W899" s="225"/>
      <c r="X899" s="225"/>
    </row>
    <row r="900" spans="1:24" ht="13.8" x14ac:dyDescent="0.3">
      <c r="A900" s="225"/>
      <c r="B900" s="225"/>
      <c r="C900" s="225"/>
      <c r="D900" s="225"/>
      <c r="E900" s="225"/>
      <c r="F900" s="225"/>
      <c r="G900" s="225"/>
      <c r="H900" s="225"/>
      <c r="I900" s="225"/>
      <c r="J900" s="225"/>
      <c r="K900" s="225"/>
      <c r="L900" s="225"/>
      <c r="M900" s="225"/>
      <c r="N900" s="225"/>
      <c r="O900" s="225"/>
      <c r="P900" s="225"/>
      <c r="Q900" s="225"/>
      <c r="R900" s="225"/>
      <c r="S900" s="225"/>
      <c r="T900" s="225"/>
      <c r="U900" s="225"/>
      <c r="V900" s="225"/>
      <c r="W900" s="225"/>
      <c r="X900" s="225"/>
    </row>
    <row r="901" spans="1:24" ht="13.8" x14ac:dyDescent="0.3">
      <c r="A901" s="225"/>
      <c r="B901" s="225"/>
      <c r="C901" s="225"/>
      <c r="D901" s="225"/>
      <c r="E901" s="225"/>
      <c r="F901" s="225"/>
      <c r="G901" s="225"/>
      <c r="H901" s="225"/>
      <c r="I901" s="225"/>
      <c r="J901" s="225"/>
      <c r="K901" s="225"/>
      <c r="L901" s="225"/>
      <c r="M901" s="225"/>
      <c r="N901" s="225"/>
      <c r="O901" s="225"/>
      <c r="P901" s="225"/>
      <c r="Q901" s="225"/>
      <c r="R901" s="225"/>
      <c r="S901" s="225"/>
      <c r="T901" s="225"/>
      <c r="U901" s="225"/>
      <c r="V901" s="225"/>
      <c r="W901" s="225"/>
      <c r="X901" s="225"/>
    </row>
    <row r="902" spans="1:24" ht="13.8" x14ac:dyDescent="0.3">
      <c r="A902" s="225"/>
      <c r="B902" s="225"/>
      <c r="C902" s="225"/>
      <c r="D902" s="225"/>
      <c r="E902" s="225"/>
      <c r="F902" s="225"/>
      <c r="G902" s="225"/>
      <c r="H902" s="225"/>
      <c r="I902" s="225"/>
      <c r="J902" s="225"/>
      <c r="K902" s="225"/>
      <c r="L902" s="225"/>
      <c r="M902" s="225"/>
      <c r="N902" s="225"/>
      <c r="O902" s="225"/>
      <c r="P902" s="225"/>
      <c r="Q902" s="225"/>
      <c r="R902" s="225"/>
      <c r="S902" s="225"/>
      <c r="T902" s="225"/>
      <c r="U902" s="225"/>
      <c r="V902" s="225"/>
      <c r="W902" s="225"/>
      <c r="X902" s="225"/>
    </row>
    <row r="903" spans="1:24" ht="13.8" x14ac:dyDescent="0.3">
      <c r="A903" s="225"/>
      <c r="B903" s="225"/>
      <c r="C903" s="225"/>
      <c r="D903" s="225"/>
      <c r="E903" s="225"/>
      <c r="F903" s="225"/>
      <c r="G903" s="225"/>
      <c r="H903" s="225"/>
      <c r="I903" s="225"/>
      <c r="J903" s="225"/>
      <c r="K903" s="225"/>
      <c r="L903" s="225"/>
      <c r="M903" s="225"/>
      <c r="N903" s="225"/>
      <c r="O903" s="225"/>
      <c r="P903" s="225"/>
      <c r="Q903" s="225"/>
      <c r="R903" s="225"/>
      <c r="S903" s="225"/>
      <c r="T903" s="225"/>
      <c r="U903" s="225"/>
      <c r="V903" s="225"/>
      <c r="W903" s="225"/>
      <c r="X903" s="225"/>
    </row>
    <row r="904" spans="1:24" ht="13.8" x14ac:dyDescent="0.3">
      <c r="A904" s="225"/>
      <c r="B904" s="225"/>
      <c r="C904" s="225"/>
      <c r="D904" s="225"/>
      <c r="E904" s="225"/>
      <c r="F904" s="225"/>
      <c r="G904" s="225"/>
      <c r="H904" s="225"/>
      <c r="I904" s="225"/>
      <c r="J904" s="225"/>
      <c r="K904" s="225"/>
      <c r="L904" s="225"/>
      <c r="M904" s="225"/>
      <c r="N904" s="225"/>
      <c r="O904" s="225"/>
      <c r="P904" s="225"/>
      <c r="Q904" s="225"/>
      <c r="R904" s="225"/>
      <c r="S904" s="225"/>
      <c r="T904" s="225"/>
      <c r="U904" s="225"/>
      <c r="V904" s="225"/>
      <c r="W904" s="225"/>
      <c r="X904" s="225"/>
    </row>
    <row r="905" spans="1:24" ht="13.8" x14ac:dyDescent="0.3">
      <c r="A905" s="225"/>
      <c r="B905" s="225"/>
      <c r="C905" s="225"/>
      <c r="D905" s="225"/>
      <c r="E905" s="225"/>
      <c r="F905" s="225"/>
      <c r="G905" s="225"/>
      <c r="H905" s="225"/>
      <c r="I905" s="225"/>
      <c r="J905" s="225"/>
      <c r="K905" s="225"/>
      <c r="L905" s="225"/>
      <c r="M905" s="225"/>
      <c r="N905" s="225"/>
      <c r="O905" s="225"/>
      <c r="P905" s="225"/>
      <c r="Q905" s="225"/>
      <c r="R905" s="225"/>
      <c r="S905" s="225"/>
      <c r="T905" s="225"/>
      <c r="U905" s="225"/>
      <c r="V905" s="225"/>
      <c r="W905" s="225"/>
      <c r="X905" s="225"/>
    </row>
    <row r="906" spans="1:24" ht="13.8" x14ac:dyDescent="0.3">
      <c r="A906" s="225"/>
      <c r="B906" s="225"/>
      <c r="C906" s="225"/>
      <c r="D906" s="225"/>
      <c r="E906" s="225"/>
      <c r="F906" s="225"/>
      <c r="G906" s="225"/>
      <c r="H906" s="225"/>
      <c r="I906" s="225"/>
      <c r="J906" s="225"/>
      <c r="K906" s="225"/>
      <c r="L906" s="225"/>
      <c r="M906" s="225"/>
      <c r="N906" s="225"/>
      <c r="O906" s="225"/>
      <c r="P906" s="225"/>
      <c r="Q906" s="225"/>
      <c r="R906" s="225"/>
      <c r="S906" s="225"/>
      <c r="T906" s="225"/>
      <c r="U906" s="225"/>
      <c r="V906" s="225"/>
      <c r="W906" s="225"/>
      <c r="X906" s="225"/>
    </row>
    <row r="907" spans="1:24" ht="13.8" x14ac:dyDescent="0.3">
      <c r="A907" s="225"/>
      <c r="B907" s="225"/>
      <c r="C907" s="225"/>
      <c r="D907" s="225"/>
      <c r="E907" s="225"/>
      <c r="F907" s="225"/>
      <c r="G907" s="225"/>
      <c r="H907" s="225"/>
      <c r="I907" s="225"/>
      <c r="J907" s="225"/>
      <c r="K907" s="225"/>
      <c r="L907" s="225"/>
      <c r="M907" s="225"/>
      <c r="N907" s="225"/>
      <c r="O907" s="225"/>
      <c r="P907" s="225"/>
      <c r="Q907" s="225"/>
      <c r="R907" s="225"/>
      <c r="S907" s="225"/>
      <c r="T907" s="225"/>
      <c r="U907" s="225"/>
      <c r="V907" s="225"/>
      <c r="W907" s="225"/>
      <c r="X907" s="225"/>
    </row>
    <row r="908" spans="1:24" ht="13.8" x14ac:dyDescent="0.3">
      <c r="A908" s="225"/>
      <c r="B908" s="225"/>
      <c r="C908" s="225"/>
      <c r="D908" s="225"/>
      <c r="E908" s="225"/>
      <c r="F908" s="225"/>
      <c r="G908" s="225"/>
      <c r="H908" s="225"/>
      <c r="I908" s="225"/>
      <c r="J908" s="225"/>
      <c r="K908" s="225"/>
      <c r="L908" s="225"/>
      <c r="M908" s="225"/>
      <c r="N908" s="225"/>
      <c r="O908" s="225"/>
      <c r="P908" s="225"/>
      <c r="Q908" s="225"/>
      <c r="R908" s="225"/>
      <c r="S908" s="225"/>
      <c r="T908" s="225"/>
      <c r="U908" s="225"/>
      <c r="V908" s="225"/>
      <c r="W908" s="225"/>
      <c r="X908" s="225"/>
    </row>
    <row r="909" spans="1:24" ht="13.8" x14ac:dyDescent="0.3">
      <c r="A909" s="225"/>
      <c r="B909" s="225"/>
      <c r="C909" s="225"/>
      <c r="D909" s="225"/>
      <c r="E909" s="225"/>
      <c r="F909" s="225"/>
      <c r="G909" s="225"/>
      <c r="H909" s="225"/>
      <c r="I909" s="225"/>
      <c r="J909" s="225"/>
      <c r="K909" s="225"/>
      <c r="L909" s="225"/>
      <c r="M909" s="225"/>
      <c r="N909" s="225"/>
      <c r="O909" s="225"/>
      <c r="P909" s="225"/>
      <c r="Q909" s="225"/>
      <c r="R909" s="225"/>
      <c r="S909" s="225"/>
      <c r="T909" s="225"/>
      <c r="U909" s="225"/>
      <c r="V909" s="225"/>
      <c r="W909" s="225"/>
      <c r="X909" s="225"/>
    </row>
    <row r="910" spans="1:24" ht="13.8" x14ac:dyDescent="0.3">
      <c r="A910" s="225"/>
      <c r="B910" s="225"/>
      <c r="C910" s="225"/>
      <c r="D910" s="225"/>
      <c r="E910" s="225"/>
      <c r="F910" s="225"/>
      <c r="G910" s="225"/>
      <c r="H910" s="225"/>
      <c r="I910" s="225"/>
      <c r="J910" s="225"/>
      <c r="K910" s="225"/>
      <c r="L910" s="225"/>
      <c r="M910" s="225"/>
      <c r="N910" s="225"/>
      <c r="O910" s="225"/>
      <c r="P910" s="225"/>
      <c r="Q910" s="225"/>
      <c r="R910" s="225"/>
      <c r="S910" s="225"/>
      <c r="T910" s="225"/>
      <c r="U910" s="225"/>
      <c r="V910" s="225"/>
      <c r="W910" s="225"/>
      <c r="X910" s="225"/>
    </row>
    <row r="911" spans="1:24" ht="13.8" x14ac:dyDescent="0.3">
      <c r="A911" s="225"/>
      <c r="B911" s="225"/>
      <c r="C911" s="225"/>
      <c r="D911" s="225"/>
      <c r="E911" s="225"/>
      <c r="F911" s="225"/>
      <c r="G911" s="225"/>
      <c r="H911" s="225"/>
      <c r="I911" s="225"/>
      <c r="J911" s="225"/>
      <c r="K911" s="225"/>
      <c r="L911" s="225"/>
      <c r="M911" s="225"/>
      <c r="N911" s="225"/>
      <c r="O911" s="225"/>
      <c r="P911" s="225"/>
      <c r="Q911" s="225"/>
      <c r="R911" s="225"/>
      <c r="S911" s="225"/>
      <c r="T911" s="225"/>
      <c r="U911" s="225"/>
      <c r="V911" s="225"/>
      <c r="W911" s="225"/>
      <c r="X911" s="225"/>
    </row>
    <row r="912" spans="1:24" ht="13.8" x14ac:dyDescent="0.3">
      <c r="A912" s="225"/>
      <c r="B912" s="225"/>
      <c r="C912" s="225"/>
      <c r="D912" s="225"/>
      <c r="E912" s="225"/>
      <c r="F912" s="225"/>
      <c r="G912" s="225"/>
      <c r="H912" s="225"/>
      <c r="I912" s="225"/>
      <c r="J912" s="225"/>
      <c r="K912" s="225"/>
      <c r="L912" s="225"/>
      <c r="M912" s="225"/>
      <c r="N912" s="225"/>
      <c r="O912" s="225"/>
      <c r="P912" s="225"/>
      <c r="Q912" s="225"/>
      <c r="R912" s="225"/>
      <c r="S912" s="225"/>
      <c r="T912" s="225"/>
      <c r="U912" s="225"/>
      <c r="V912" s="225"/>
      <c r="W912" s="225"/>
      <c r="X912" s="225"/>
    </row>
    <row r="913" spans="1:24" ht="13.8" x14ac:dyDescent="0.3">
      <c r="A913" s="225"/>
      <c r="B913" s="225"/>
      <c r="C913" s="225"/>
      <c r="D913" s="225"/>
      <c r="E913" s="225"/>
      <c r="F913" s="225"/>
      <c r="G913" s="225"/>
      <c r="H913" s="225"/>
      <c r="I913" s="225"/>
      <c r="J913" s="225"/>
      <c r="K913" s="225"/>
      <c r="L913" s="225"/>
      <c r="M913" s="225"/>
      <c r="N913" s="225"/>
      <c r="O913" s="225"/>
      <c r="P913" s="225"/>
      <c r="Q913" s="225"/>
      <c r="R913" s="225"/>
      <c r="S913" s="225"/>
      <c r="T913" s="225"/>
      <c r="U913" s="225"/>
      <c r="V913" s="225"/>
      <c r="W913" s="225"/>
      <c r="X913" s="225"/>
    </row>
    <row r="914" spans="1:24" ht="13.8" x14ac:dyDescent="0.3">
      <c r="A914" s="225"/>
      <c r="B914" s="225"/>
      <c r="C914" s="225"/>
      <c r="D914" s="225"/>
      <c r="E914" s="225"/>
      <c r="F914" s="225"/>
      <c r="G914" s="225"/>
      <c r="H914" s="225"/>
      <c r="I914" s="225"/>
      <c r="J914" s="225"/>
      <c r="K914" s="225"/>
      <c r="L914" s="225"/>
      <c r="M914" s="225"/>
      <c r="N914" s="225"/>
      <c r="O914" s="225"/>
      <c r="P914" s="225"/>
      <c r="Q914" s="225"/>
      <c r="R914" s="225"/>
      <c r="S914" s="225"/>
      <c r="T914" s="225"/>
      <c r="U914" s="225"/>
      <c r="V914" s="225"/>
      <c r="W914" s="225"/>
      <c r="X914" s="225"/>
    </row>
    <row r="915" spans="1:24" ht="13.8" x14ac:dyDescent="0.3">
      <c r="A915" s="225"/>
      <c r="B915" s="225"/>
      <c r="C915" s="225"/>
      <c r="D915" s="225"/>
      <c r="E915" s="225"/>
      <c r="F915" s="225"/>
      <c r="G915" s="225"/>
      <c r="H915" s="225"/>
      <c r="I915" s="225"/>
      <c r="J915" s="225"/>
      <c r="K915" s="225"/>
      <c r="L915" s="225"/>
      <c r="M915" s="225"/>
      <c r="N915" s="225"/>
      <c r="O915" s="225"/>
      <c r="P915" s="225"/>
      <c r="Q915" s="225"/>
      <c r="R915" s="225"/>
      <c r="S915" s="225"/>
      <c r="T915" s="225"/>
      <c r="U915" s="225"/>
      <c r="V915" s="225"/>
      <c r="W915" s="225"/>
      <c r="X915" s="225"/>
    </row>
    <row r="916" spans="1:24" ht="13.8" x14ac:dyDescent="0.3">
      <c r="A916" s="225"/>
      <c r="B916" s="225"/>
      <c r="C916" s="225"/>
      <c r="D916" s="225"/>
      <c r="E916" s="225"/>
      <c r="F916" s="225"/>
      <c r="G916" s="225"/>
      <c r="H916" s="225"/>
      <c r="I916" s="225"/>
      <c r="J916" s="225"/>
      <c r="K916" s="225"/>
      <c r="L916" s="225"/>
      <c r="M916" s="225"/>
      <c r="N916" s="225"/>
      <c r="O916" s="225"/>
      <c r="P916" s="225"/>
      <c r="Q916" s="225"/>
      <c r="R916" s="225"/>
      <c r="S916" s="225"/>
      <c r="T916" s="225"/>
      <c r="U916" s="225"/>
      <c r="V916" s="225"/>
      <c r="W916" s="225"/>
      <c r="X916" s="225"/>
    </row>
    <row r="917" spans="1:24" ht="13.8" x14ac:dyDescent="0.3">
      <c r="A917" s="225"/>
      <c r="B917" s="225"/>
      <c r="C917" s="225"/>
      <c r="D917" s="225"/>
      <c r="E917" s="225"/>
      <c r="F917" s="225"/>
      <c r="G917" s="225"/>
      <c r="H917" s="225"/>
      <c r="I917" s="225"/>
      <c r="J917" s="225"/>
      <c r="K917" s="225"/>
      <c r="L917" s="225"/>
      <c r="M917" s="225"/>
      <c r="N917" s="225"/>
      <c r="O917" s="225"/>
      <c r="P917" s="225"/>
      <c r="Q917" s="225"/>
      <c r="R917" s="225"/>
      <c r="S917" s="225"/>
      <c r="T917" s="225"/>
      <c r="U917" s="225"/>
      <c r="V917" s="225"/>
      <c r="W917" s="225"/>
      <c r="X917" s="225"/>
    </row>
    <row r="918" spans="1:24" ht="13.8" x14ac:dyDescent="0.3">
      <c r="A918" s="225"/>
      <c r="B918" s="225"/>
      <c r="C918" s="225"/>
      <c r="D918" s="225"/>
      <c r="E918" s="225"/>
      <c r="F918" s="225"/>
      <c r="G918" s="225"/>
      <c r="H918" s="225"/>
      <c r="I918" s="225"/>
      <c r="J918" s="225"/>
      <c r="K918" s="225"/>
      <c r="L918" s="225"/>
      <c r="M918" s="225"/>
      <c r="N918" s="225"/>
      <c r="O918" s="225"/>
      <c r="P918" s="225"/>
      <c r="Q918" s="225"/>
      <c r="R918" s="225"/>
      <c r="S918" s="225"/>
      <c r="T918" s="225"/>
      <c r="U918" s="225"/>
      <c r="V918" s="225"/>
      <c r="W918" s="225"/>
      <c r="X918" s="225"/>
    </row>
    <row r="919" spans="1:24" ht="13.8" x14ac:dyDescent="0.3">
      <c r="A919" s="225"/>
      <c r="B919" s="225"/>
      <c r="C919" s="225"/>
      <c r="D919" s="225"/>
      <c r="E919" s="225"/>
      <c r="F919" s="225"/>
      <c r="G919" s="225"/>
      <c r="H919" s="225"/>
      <c r="I919" s="225"/>
      <c r="J919" s="225"/>
      <c r="K919" s="225"/>
      <c r="L919" s="225"/>
      <c r="M919" s="225"/>
      <c r="N919" s="225"/>
      <c r="O919" s="225"/>
      <c r="P919" s="225"/>
      <c r="Q919" s="225"/>
      <c r="R919" s="225"/>
      <c r="S919" s="225"/>
      <c r="T919" s="225"/>
      <c r="U919" s="225"/>
      <c r="V919" s="225"/>
      <c r="W919" s="225"/>
      <c r="X919" s="225"/>
    </row>
    <row r="920" spans="1:24" ht="13.8" x14ac:dyDescent="0.3">
      <c r="A920" s="225"/>
      <c r="B920" s="225"/>
      <c r="C920" s="225"/>
      <c r="D920" s="225"/>
      <c r="E920" s="225"/>
      <c r="F920" s="225"/>
      <c r="G920" s="225"/>
      <c r="H920" s="225"/>
      <c r="I920" s="225"/>
      <c r="J920" s="225"/>
      <c r="K920" s="225"/>
      <c r="L920" s="225"/>
      <c r="M920" s="225"/>
      <c r="N920" s="225"/>
      <c r="O920" s="225"/>
      <c r="P920" s="225"/>
      <c r="Q920" s="225"/>
      <c r="R920" s="225"/>
      <c r="S920" s="225"/>
      <c r="T920" s="225"/>
      <c r="U920" s="225"/>
      <c r="V920" s="225"/>
      <c r="W920" s="225"/>
      <c r="X920" s="225"/>
    </row>
    <row r="921" spans="1:24" ht="13.8" x14ac:dyDescent="0.3">
      <c r="A921" s="225"/>
      <c r="B921" s="225"/>
      <c r="C921" s="225"/>
      <c r="D921" s="225"/>
      <c r="E921" s="225"/>
      <c r="F921" s="225"/>
      <c r="G921" s="225"/>
      <c r="H921" s="225"/>
      <c r="I921" s="225"/>
      <c r="J921" s="225"/>
      <c r="K921" s="225"/>
      <c r="L921" s="225"/>
      <c r="M921" s="225"/>
      <c r="N921" s="225"/>
      <c r="O921" s="225"/>
      <c r="P921" s="225"/>
      <c r="Q921" s="225"/>
      <c r="R921" s="225"/>
      <c r="S921" s="225"/>
      <c r="T921" s="225"/>
      <c r="U921" s="225"/>
      <c r="V921" s="225"/>
      <c r="W921" s="225"/>
      <c r="X921" s="225"/>
    </row>
    <row r="922" spans="1:24" ht="13.8" x14ac:dyDescent="0.3">
      <c r="A922" s="225"/>
      <c r="B922" s="225"/>
      <c r="C922" s="225"/>
      <c r="D922" s="225"/>
      <c r="E922" s="225"/>
      <c r="F922" s="225"/>
      <c r="G922" s="225"/>
      <c r="H922" s="225"/>
      <c r="I922" s="225"/>
      <c r="J922" s="225"/>
      <c r="K922" s="225"/>
      <c r="L922" s="225"/>
      <c r="M922" s="225"/>
      <c r="N922" s="225"/>
      <c r="O922" s="225"/>
      <c r="P922" s="225"/>
      <c r="Q922" s="225"/>
      <c r="R922" s="225"/>
      <c r="S922" s="225"/>
      <c r="T922" s="225"/>
      <c r="U922" s="225"/>
      <c r="V922" s="225"/>
      <c r="W922" s="225"/>
      <c r="X922" s="225"/>
    </row>
    <row r="923" spans="1:24" ht="13.8" x14ac:dyDescent="0.3">
      <c r="A923" s="225"/>
      <c r="B923" s="225"/>
      <c r="C923" s="225"/>
      <c r="D923" s="225"/>
      <c r="E923" s="225"/>
      <c r="F923" s="225"/>
      <c r="G923" s="225"/>
      <c r="H923" s="225"/>
      <c r="I923" s="225"/>
      <c r="J923" s="225"/>
      <c r="K923" s="225"/>
      <c r="L923" s="225"/>
      <c r="M923" s="225"/>
      <c r="N923" s="225"/>
      <c r="O923" s="225"/>
      <c r="P923" s="225"/>
      <c r="Q923" s="225"/>
      <c r="R923" s="225"/>
      <c r="S923" s="225"/>
      <c r="T923" s="225"/>
      <c r="U923" s="225"/>
      <c r="V923" s="225"/>
      <c r="W923" s="225"/>
      <c r="X923" s="225"/>
    </row>
    <row r="924" spans="1:24" ht="13.8" x14ac:dyDescent="0.3">
      <c r="A924" s="225"/>
      <c r="B924" s="225"/>
      <c r="C924" s="225"/>
      <c r="D924" s="225"/>
      <c r="E924" s="225"/>
      <c r="F924" s="225"/>
      <c r="G924" s="225"/>
      <c r="H924" s="225"/>
      <c r="I924" s="225"/>
      <c r="J924" s="225"/>
      <c r="K924" s="225"/>
      <c r="L924" s="225"/>
      <c r="M924" s="225"/>
      <c r="N924" s="225"/>
      <c r="O924" s="225"/>
      <c r="P924" s="225"/>
      <c r="Q924" s="225"/>
      <c r="R924" s="225"/>
      <c r="S924" s="225"/>
      <c r="T924" s="225"/>
      <c r="U924" s="225"/>
      <c r="V924" s="225"/>
      <c r="W924" s="225"/>
      <c r="X924" s="225"/>
    </row>
    <row r="925" spans="1:24" ht="13.8" x14ac:dyDescent="0.3">
      <c r="A925" s="225"/>
      <c r="B925" s="225"/>
      <c r="C925" s="225"/>
      <c r="D925" s="225"/>
      <c r="E925" s="225"/>
      <c r="F925" s="225"/>
      <c r="G925" s="225"/>
      <c r="H925" s="225"/>
      <c r="I925" s="225"/>
      <c r="J925" s="225"/>
      <c r="K925" s="225"/>
      <c r="L925" s="225"/>
      <c r="M925" s="225"/>
      <c r="N925" s="225"/>
      <c r="O925" s="225"/>
      <c r="P925" s="225"/>
      <c r="Q925" s="225"/>
      <c r="R925" s="225"/>
      <c r="S925" s="225"/>
      <c r="T925" s="225"/>
      <c r="U925" s="225"/>
      <c r="V925" s="225"/>
      <c r="W925" s="225"/>
      <c r="X925" s="225"/>
    </row>
    <row r="926" spans="1:24" ht="13.8" x14ac:dyDescent="0.3">
      <c r="A926" s="225"/>
      <c r="B926" s="225"/>
      <c r="C926" s="225"/>
      <c r="D926" s="225"/>
      <c r="E926" s="225"/>
      <c r="F926" s="225"/>
      <c r="G926" s="225"/>
      <c r="H926" s="225"/>
      <c r="I926" s="225"/>
      <c r="J926" s="225"/>
      <c r="K926" s="225"/>
      <c r="L926" s="225"/>
      <c r="M926" s="225"/>
      <c r="N926" s="225"/>
      <c r="O926" s="225"/>
      <c r="P926" s="225"/>
      <c r="Q926" s="225"/>
      <c r="R926" s="225"/>
      <c r="S926" s="225"/>
      <c r="T926" s="225"/>
      <c r="U926" s="225"/>
      <c r="V926" s="225"/>
      <c r="W926" s="225"/>
      <c r="X926" s="225"/>
    </row>
    <row r="927" spans="1:24" ht="13.8" x14ac:dyDescent="0.3">
      <c r="A927" s="225"/>
      <c r="B927" s="225"/>
      <c r="C927" s="225"/>
      <c r="D927" s="225"/>
      <c r="E927" s="225"/>
      <c r="F927" s="225"/>
      <c r="G927" s="225"/>
      <c r="H927" s="225"/>
      <c r="I927" s="225"/>
      <c r="J927" s="225"/>
      <c r="K927" s="225"/>
      <c r="L927" s="225"/>
      <c r="M927" s="225"/>
      <c r="N927" s="225"/>
      <c r="O927" s="225"/>
      <c r="P927" s="225"/>
      <c r="Q927" s="225"/>
      <c r="R927" s="225"/>
      <c r="S927" s="225"/>
      <c r="T927" s="225"/>
      <c r="U927" s="225"/>
      <c r="V927" s="225"/>
      <c r="W927" s="225"/>
      <c r="X927" s="225"/>
    </row>
    <row r="928" spans="1:24" ht="13.8" x14ac:dyDescent="0.3">
      <c r="A928" s="225"/>
      <c r="B928" s="225"/>
      <c r="C928" s="225"/>
      <c r="D928" s="225"/>
      <c r="E928" s="225"/>
      <c r="F928" s="225"/>
      <c r="G928" s="225"/>
      <c r="H928" s="225"/>
      <c r="I928" s="225"/>
      <c r="J928" s="225"/>
      <c r="K928" s="225"/>
      <c r="L928" s="225"/>
      <c r="M928" s="225"/>
      <c r="N928" s="225"/>
      <c r="O928" s="225"/>
      <c r="P928" s="225"/>
      <c r="Q928" s="225"/>
      <c r="R928" s="225"/>
      <c r="S928" s="225"/>
      <c r="T928" s="225"/>
      <c r="U928" s="225"/>
      <c r="V928" s="225"/>
      <c r="W928" s="225"/>
      <c r="X928" s="225"/>
    </row>
    <row r="929" spans="1:24" ht="13.8" x14ac:dyDescent="0.3">
      <c r="A929" s="225"/>
      <c r="B929" s="225"/>
      <c r="C929" s="225"/>
      <c r="D929" s="225"/>
      <c r="E929" s="225"/>
      <c r="F929" s="225"/>
      <c r="G929" s="225"/>
      <c r="H929" s="225"/>
      <c r="I929" s="225"/>
      <c r="J929" s="225"/>
      <c r="K929" s="225"/>
      <c r="L929" s="225"/>
      <c r="M929" s="225"/>
      <c r="N929" s="225"/>
      <c r="O929" s="225"/>
      <c r="P929" s="225"/>
      <c r="Q929" s="225"/>
      <c r="R929" s="225"/>
      <c r="S929" s="225"/>
      <c r="T929" s="225"/>
      <c r="U929" s="225"/>
      <c r="V929" s="225"/>
      <c r="W929" s="225"/>
      <c r="X929" s="225"/>
    </row>
    <row r="930" spans="1:24" ht="13.8" x14ac:dyDescent="0.3">
      <c r="A930" s="225"/>
      <c r="B930" s="225"/>
      <c r="C930" s="225"/>
      <c r="D930" s="225"/>
      <c r="E930" s="225"/>
      <c r="F930" s="225"/>
      <c r="G930" s="225"/>
      <c r="H930" s="225"/>
      <c r="I930" s="225"/>
      <c r="J930" s="225"/>
      <c r="K930" s="225"/>
      <c r="L930" s="225"/>
      <c r="M930" s="225"/>
      <c r="N930" s="225"/>
      <c r="O930" s="225"/>
      <c r="P930" s="225"/>
      <c r="Q930" s="225"/>
      <c r="R930" s="225"/>
      <c r="S930" s="225"/>
      <c r="T930" s="225"/>
      <c r="U930" s="225"/>
      <c r="V930" s="225"/>
      <c r="W930" s="225"/>
      <c r="X930" s="225"/>
    </row>
    <row r="931" spans="1:24" ht="13.8" x14ac:dyDescent="0.3">
      <c r="A931" s="225"/>
      <c r="B931" s="225"/>
      <c r="C931" s="225"/>
      <c r="D931" s="225"/>
      <c r="E931" s="225"/>
      <c r="F931" s="225"/>
      <c r="G931" s="225"/>
      <c r="H931" s="225"/>
      <c r="I931" s="225"/>
      <c r="J931" s="225"/>
      <c r="K931" s="225"/>
      <c r="L931" s="225"/>
      <c r="M931" s="225"/>
      <c r="N931" s="225"/>
      <c r="O931" s="225"/>
      <c r="P931" s="225"/>
      <c r="Q931" s="225"/>
      <c r="R931" s="225"/>
      <c r="S931" s="225"/>
      <c r="T931" s="225"/>
      <c r="U931" s="225"/>
      <c r="V931" s="225"/>
      <c r="W931" s="225"/>
      <c r="X931" s="225"/>
    </row>
    <row r="932" spans="1:24" ht="13.8" x14ac:dyDescent="0.3">
      <c r="A932" s="225"/>
      <c r="B932" s="225"/>
      <c r="C932" s="225"/>
      <c r="D932" s="225"/>
      <c r="E932" s="225"/>
      <c r="F932" s="225"/>
      <c r="G932" s="225"/>
      <c r="H932" s="225"/>
      <c r="I932" s="225"/>
      <c r="J932" s="225"/>
      <c r="K932" s="225"/>
      <c r="L932" s="225"/>
      <c r="M932" s="225"/>
      <c r="N932" s="225"/>
      <c r="O932" s="225"/>
      <c r="P932" s="225"/>
      <c r="Q932" s="225"/>
      <c r="R932" s="225"/>
      <c r="S932" s="225"/>
      <c r="T932" s="225"/>
      <c r="U932" s="225"/>
      <c r="V932" s="225"/>
      <c r="W932" s="225"/>
      <c r="X932" s="225"/>
    </row>
    <row r="933" spans="1:24" ht="13.8" x14ac:dyDescent="0.3">
      <c r="A933" s="225"/>
      <c r="B933" s="225"/>
      <c r="C933" s="225"/>
      <c r="D933" s="225"/>
      <c r="E933" s="225"/>
      <c r="F933" s="225"/>
      <c r="G933" s="225"/>
      <c r="H933" s="225"/>
      <c r="I933" s="225"/>
      <c r="J933" s="225"/>
      <c r="K933" s="225"/>
      <c r="L933" s="225"/>
      <c r="M933" s="225"/>
      <c r="N933" s="225"/>
      <c r="O933" s="225"/>
      <c r="P933" s="225"/>
      <c r="Q933" s="225"/>
      <c r="R933" s="225"/>
      <c r="S933" s="225"/>
      <c r="T933" s="225"/>
      <c r="U933" s="225"/>
      <c r="V933" s="225"/>
      <c r="W933" s="225"/>
      <c r="X933" s="225"/>
    </row>
    <row r="934" spans="1:24" ht="13.8" x14ac:dyDescent="0.3">
      <c r="A934" s="225"/>
      <c r="B934" s="225"/>
      <c r="C934" s="225"/>
      <c r="D934" s="225"/>
      <c r="E934" s="225"/>
      <c r="F934" s="225"/>
      <c r="G934" s="225"/>
      <c r="H934" s="225"/>
      <c r="I934" s="225"/>
      <c r="J934" s="225"/>
      <c r="K934" s="225"/>
      <c r="L934" s="225"/>
      <c r="M934" s="225"/>
      <c r="N934" s="225"/>
      <c r="O934" s="225"/>
      <c r="P934" s="225"/>
      <c r="Q934" s="225"/>
      <c r="R934" s="225"/>
      <c r="S934" s="225"/>
      <c r="T934" s="225"/>
      <c r="U934" s="225"/>
      <c r="V934" s="225"/>
      <c r="W934" s="225"/>
      <c r="X934" s="225"/>
    </row>
    <row r="935" spans="1:24" ht="13.8" x14ac:dyDescent="0.3">
      <c r="A935" s="225"/>
      <c r="B935" s="225"/>
      <c r="C935" s="225"/>
      <c r="D935" s="225"/>
      <c r="E935" s="225"/>
      <c r="F935" s="225"/>
      <c r="G935" s="225"/>
      <c r="H935" s="225"/>
      <c r="I935" s="225"/>
      <c r="J935" s="225"/>
      <c r="K935" s="225"/>
      <c r="L935" s="225"/>
      <c r="M935" s="225"/>
      <c r="N935" s="225"/>
      <c r="O935" s="225"/>
      <c r="P935" s="225"/>
      <c r="Q935" s="225"/>
      <c r="R935" s="225"/>
      <c r="S935" s="225"/>
      <c r="T935" s="225"/>
      <c r="U935" s="225"/>
      <c r="V935" s="225"/>
      <c r="W935" s="225"/>
      <c r="X935" s="225"/>
    </row>
    <row r="936" spans="1:24" ht="13.8" x14ac:dyDescent="0.3">
      <c r="A936" s="225"/>
      <c r="B936" s="225"/>
      <c r="C936" s="225"/>
      <c r="D936" s="225"/>
      <c r="E936" s="225"/>
      <c r="F936" s="225"/>
      <c r="G936" s="225"/>
      <c r="H936" s="225"/>
      <c r="I936" s="225"/>
      <c r="J936" s="225"/>
      <c r="K936" s="225"/>
      <c r="L936" s="225"/>
      <c r="M936" s="225"/>
      <c r="N936" s="225"/>
      <c r="O936" s="225"/>
      <c r="P936" s="225"/>
      <c r="Q936" s="225"/>
      <c r="R936" s="225"/>
      <c r="S936" s="225"/>
      <c r="T936" s="225"/>
      <c r="U936" s="225"/>
      <c r="V936" s="225"/>
      <c r="W936" s="225"/>
      <c r="X936" s="225"/>
    </row>
    <row r="937" spans="1:24" ht="13.8" x14ac:dyDescent="0.3">
      <c r="A937" s="225"/>
      <c r="B937" s="225"/>
      <c r="C937" s="225"/>
      <c r="D937" s="225"/>
      <c r="E937" s="225"/>
      <c r="F937" s="225"/>
      <c r="G937" s="225"/>
      <c r="H937" s="225"/>
      <c r="I937" s="225"/>
      <c r="J937" s="225"/>
      <c r="K937" s="225"/>
      <c r="L937" s="225"/>
      <c r="M937" s="225"/>
      <c r="N937" s="225"/>
      <c r="O937" s="225"/>
      <c r="P937" s="225"/>
      <c r="Q937" s="225"/>
      <c r="R937" s="225"/>
      <c r="S937" s="225"/>
      <c r="T937" s="225"/>
      <c r="U937" s="225"/>
      <c r="V937" s="225"/>
      <c r="W937" s="225"/>
      <c r="X937" s="225"/>
    </row>
    <row r="938" spans="1:24" ht="13.8" x14ac:dyDescent="0.3">
      <c r="A938" s="225"/>
      <c r="B938" s="225"/>
      <c r="C938" s="225"/>
      <c r="D938" s="225"/>
      <c r="E938" s="225"/>
      <c r="F938" s="225"/>
      <c r="G938" s="225"/>
      <c r="H938" s="225"/>
      <c r="I938" s="225"/>
      <c r="J938" s="225"/>
      <c r="K938" s="225"/>
      <c r="L938" s="225"/>
      <c r="M938" s="225"/>
      <c r="N938" s="225"/>
      <c r="O938" s="225"/>
      <c r="P938" s="225"/>
      <c r="Q938" s="225"/>
      <c r="R938" s="225"/>
      <c r="S938" s="225"/>
      <c r="T938" s="225"/>
      <c r="U938" s="225"/>
      <c r="V938" s="225"/>
      <c r="W938" s="225"/>
      <c r="X938" s="225"/>
    </row>
    <row r="939" spans="1:24" ht="13.8" x14ac:dyDescent="0.3">
      <c r="A939" s="225"/>
      <c r="B939" s="225"/>
      <c r="C939" s="225"/>
      <c r="D939" s="225"/>
      <c r="E939" s="225"/>
      <c r="F939" s="225"/>
      <c r="G939" s="225"/>
      <c r="H939" s="225"/>
      <c r="I939" s="225"/>
      <c r="J939" s="225"/>
      <c r="K939" s="225"/>
      <c r="L939" s="225"/>
      <c r="M939" s="225"/>
      <c r="N939" s="225"/>
      <c r="O939" s="225"/>
      <c r="P939" s="225"/>
      <c r="Q939" s="225"/>
      <c r="R939" s="225"/>
      <c r="S939" s="225"/>
      <c r="T939" s="225"/>
      <c r="U939" s="225"/>
      <c r="V939" s="225"/>
      <c r="W939" s="225"/>
      <c r="X939" s="225"/>
    </row>
    <row r="940" spans="1:24" ht="13.8" x14ac:dyDescent="0.3">
      <c r="A940" s="225"/>
      <c r="B940" s="225"/>
      <c r="C940" s="225"/>
      <c r="D940" s="225"/>
      <c r="E940" s="225"/>
      <c r="F940" s="225"/>
      <c r="G940" s="225"/>
      <c r="H940" s="225"/>
      <c r="I940" s="225"/>
      <c r="J940" s="225"/>
      <c r="K940" s="225"/>
      <c r="L940" s="225"/>
      <c r="M940" s="225"/>
      <c r="N940" s="225"/>
      <c r="O940" s="225"/>
      <c r="P940" s="225"/>
      <c r="Q940" s="225"/>
      <c r="R940" s="225"/>
      <c r="S940" s="225"/>
      <c r="T940" s="225"/>
      <c r="U940" s="225"/>
      <c r="V940" s="225"/>
      <c r="W940" s="225"/>
      <c r="X940" s="225"/>
    </row>
    <row r="941" spans="1:24" ht="13.8" x14ac:dyDescent="0.3">
      <c r="A941" s="225"/>
      <c r="B941" s="225"/>
      <c r="C941" s="225"/>
      <c r="D941" s="225"/>
      <c r="E941" s="225"/>
      <c r="F941" s="225"/>
      <c r="G941" s="225"/>
      <c r="H941" s="225"/>
      <c r="I941" s="225"/>
      <c r="J941" s="225"/>
      <c r="K941" s="225"/>
      <c r="L941" s="225"/>
      <c r="M941" s="225"/>
      <c r="N941" s="225"/>
      <c r="O941" s="225"/>
      <c r="P941" s="225"/>
      <c r="Q941" s="225"/>
      <c r="R941" s="225"/>
      <c r="S941" s="225"/>
      <c r="T941" s="225"/>
      <c r="U941" s="225"/>
      <c r="V941" s="225"/>
      <c r="W941" s="225"/>
      <c r="X941" s="225"/>
    </row>
    <row r="942" spans="1:24" ht="13.8" x14ac:dyDescent="0.3">
      <c r="A942" s="225"/>
      <c r="B942" s="225"/>
      <c r="C942" s="225"/>
      <c r="D942" s="225"/>
      <c r="E942" s="225"/>
      <c r="F942" s="225"/>
      <c r="G942" s="225"/>
      <c r="H942" s="225"/>
      <c r="I942" s="225"/>
      <c r="J942" s="225"/>
      <c r="K942" s="225"/>
      <c r="L942" s="225"/>
      <c r="M942" s="225"/>
      <c r="N942" s="225"/>
      <c r="O942" s="225"/>
      <c r="P942" s="225"/>
      <c r="Q942" s="225"/>
      <c r="R942" s="225"/>
      <c r="S942" s="225"/>
      <c r="T942" s="225"/>
      <c r="U942" s="225"/>
      <c r="V942" s="225"/>
      <c r="W942" s="225"/>
      <c r="X942" s="225"/>
    </row>
    <row r="943" spans="1:24" ht="13.8" x14ac:dyDescent="0.3">
      <c r="A943" s="225"/>
      <c r="B943" s="225"/>
      <c r="C943" s="225"/>
      <c r="D943" s="225"/>
      <c r="E943" s="225"/>
      <c r="F943" s="225"/>
      <c r="G943" s="225"/>
      <c r="H943" s="225"/>
      <c r="I943" s="225"/>
      <c r="J943" s="225"/>
      <c r="K943" s="225"/>
      <c r="L943" s="225"/>
      <c r="M943" s="225"/>
      <c r="N943" s="225"/>
      <c r="O943" s="225"/>
      <c r="P943" s="225"/>
      <c r="Q943" s="225"/>
      <c r="R943" s="225"/>
      <c r="S943" s="225"/>
      <c r="T943" s="225"/>
      <c r="U943" s="225"/>
      <c r="V943" s="225"/>
      <c r="W943" s="225"/>
      <c r="X943" s="225"/>
    </row>
    <row r="944" spans="1:24" ht="13.8" x14ac:dyDescent="0.3">
      <c r="A944" s="225"/>
      <c r="B944" s="225"/>
      <c r="C944" s="225"/>
      <c r="D944" s="225"/>
      <c r="E944" s="225"/>
      <c r="F944" s="225"/>
      <c r="G944" s="225"/>
      <c r="H944" s="225"/>
      <c r="I944" s="225"/>
      <c r="J944" s="225"/>
      <c r="K944" s="225"/>
      <c r="L944" s="225"/>
      <c r="M944" s="225"/>
      <c r="N944" s="225"/>
      <c r="O944" s="225"/>
      <c r="P944" s="225"/>
      <c r="Q944" s="225"/>
      <c r="R944" s="225"/>
      <c r="S944" s="225"/>
      <c r="T944" s="225"/>
      <c r="U944" s="225"/>
      <c r="V944" s="225"/>
      <c r="W944" s="225"/>
      <c r="X944" s="225"/>
    </row>
    <row r="945" spans="1:24" ht="13.8" x14ac:dyDescent="0.3">
      <c r="A945" s="225"/>
      <c r="B945" s="225"/>
      <c r="C945" s="225"/>
      <c r="D945" s="225"/>
      <c r="E945" s="225"/>
      <c r="F945" s="225"/>
      <c r="G945" s="225"/>
      <c r="H945" s="225"/>
      <c r="I945" s="225"/>
      <c r="J945" s="225"/>
      <c r="K945" s="225"/>
      <c r="L945" s="225"/>
      <c r="M945" s="225"/>
      <c r="N945" s="225"/>
      <c r="O945" s="225"/>
      <c r="P945" s="225"/>
      <c r="Q945" s="225"/>
      <c r="R945" s="225"/>
      <c r="S945" s="225"/>
      <c r="T945" s="225"/>
      <c r="U945" s="225"/>
      <c r="V945" s="225"/>
      <c r="W945" s="225"/>
      <c r="X945" s="225"/>
    </row>
    <row r="946" spans="1:24" ht="13.8" x14ac:dyDescent="0.3">
      <c r="A946" s="225"/>
      <c r="B946" s="225"/>
      <c r="C946" s="225"/>
      <c r="D946" s="225"/>
      <c r="E946" s="225"/>
      <c r="F946" s="225"/>
      <c r="G946" s="225"/>
      <c r="H946" s="225"/>
      <c r="I946" s="225"/>
      <c r="J946" s="225"/>
      <c r="K946" s="225"/>
      <c r="L946" s="225"/>
      <c r="M946" s="225"/>
      <c r="N946" s="225"/>
      <c r="O946" s="225"/>
      <c r="P946" s="225"/>
      <c r="Q946" s="225"/>
      <c r="R946" s="225"/>
      <c r="S946" s="225"/>
      <c r="T946" s="225"/>
      <c r="U946" s="225"/>
      <c r="V946" s="225"/>
      <c r="W946" s="225"/>
      <c r="X946" s="225"/>
    </row>
    <row r="947" spans="1:24" ht="13.8" x14ac:dyDescent="0.3">
      <c r="A947" s="225"/>
      <c r="B947" s="225"/>
      <c r="C947" s="225"/>
      <c r="D947" s="225"/>
      <c r="E947" s="225"/>
      <c r="F947" s="225"/>
      <c r="G947" s="225"/>
      <c r="H947" s="225"/>
      <c r="I947" s="225"/>
      <c r="J947" s="225"/>
      <c r="K947" s="225"/>
      <c r="L947" s="225"/>
      <c r="M947" s="225"/>
      <c r="N947" s="225"/>
      <c r="O947" s="225"/>
      <c r="P947" s="225"/>
      <c r="Q947" s="225"/>
      <c r="R947" s="225"/>
      <c r="S947" s="225"/>
      <c r="T947" s="225"/>
      <c r="U947" s="225"/>
      <c r="V947" s="225"/>
      <c r="W947" s="225"/>
      <c r="X947" s="225"/>
    </row>
    <row r="948" spans="1:24" ht="13.8" x14ac:dyDescent="0.3">
      <c r="A948" s="225"/>
      <c r="B948" s="225"/>
      <c r="C948" s="225"/>
      <c r="D948" s="225"/>
      <c r="E948" s="225"/>
      <c r="F948" s="225"/>
      <c r="G948" s="225"/>
      <c r="H948" s="225"/>
      <c r="I948" s="225"/>
      <c r="J948" s="225"/>
      <c r="K948" s="225"/>
      <c r="L948" s="225"/>
      <c r="M948" s="225"/>
      <c r="N948" s="225"/>
      <c r="O948" s="225"/>
      <c r="P948" s="225"/>
      <c r="Q948" s="225"/>
      <c r="R948" s="225"/>
      <c r="S948" s="225"/>
      <c r="T948" s="225"/>
      <c r="U948" s="225"/>
      <c r="V948" s="225"/>
      <c r="W948" s="225"/>
      <c r="X948" s="225"/>
    </row>
    <row r="949" spans="1:24" ht="13.8" x14ac:dyDescent="0.3">
      <c r="A949" s="225"/>
      <c r="B949" s="225"/>
      <c r="C949" s="225"/>
      <c r="D949" s="225"/>
      <c r="E949" s="225"/>
      <c r="F949" s="225"/>
      <c r="G949" s="225"/>
      <c r="H949" s="225"/>
      <c r="I949" s="225"/>
      <c r="J949" s="225"/>
      <c r="K949" s="225"/>
      <c r="L949" s="225"/>
      <c r="M949" s="225"/>
      <c r="N949" s="225"/>
      <c r="O949" s="225"/>
      <c r="P949" s="225"/>
      <c r="Q949" s="225"/>
      <c r="R949" s="225"/>
      <c r="S949" s="225"/>
      <c r="T949" s="225"/>
      <c r="U949" s="225"/>
      <c r="V949" s="225"/>
      <c r="W949" s="225"/>
      <c r="X949" s="225"/>
    </row>
    <row r="950" spans="1:24" ht="13.8" x14ac:dyDescent="0.3">
      <c r="A950" s="225"/>
      <c r="B950" s="225"/>
      <c r="C950" s="225"/>
      <c r="D950" s="225"/>
      <c r="E950" s="225"/>
      <c r="F950" s="225"/>
      <c r="G950" s="225"/>
      <c r="H950" s="225"/>
      <c r="I950" s="225"/>
      <c r="J950" s="225"/>
      <c r="K950" s="225"/>
      <c r="L950" s="225"/>
      <c r="M950" s="225"/>
      <c r="N950" s="225"/>
      <c r="O950" s="225"/>
      <c r="P950" s="225"/>
      <c r="Q950" s="225"/>
      <c r="R950" s="225"/>
      <c r="S950" s="225"/>
      <c r="T950" s="225"/>
      <c r="U950" s="225"/>
      <c r="V950" s="225"/>
      <c r="W950" s="225"/>
      <c r="X950" s="225"/>
    </row>
    <row r="951" spans="1:24" ht="13.8" x14ac:dyDescent="0.3">
      <c r="A951" s="225"/>
      <c r="B951" s="225"/>
      <c r="C951" s="225"/>
      <c r="D951" s="225"/>
      <c r="E951" s="225"/>
      <c r="F951" s="225"/>
      <c r="G951" s="225"/>
      <c r="H951" s="225"/>
      <c r="I951" s="225"/>
      <c r="J951" s="225"/>
      <c r="K951" s="225"/>
      <c r="L951" s="225"/>
      <c r="M951" s="225"/>
      <c r="N951" s="225"/>
      <c r="O951" s="225"/>
      <c r="P951" s="225"/>
      <c r="Q951" s="225"/>
      <c r="R951" s="225"/>
      <c r="S951" s="225"/>
      <c r="T951" s="225"/>
      <c r="U951" s="225"/>
      <c r="V951" s="225"/>
      <c r="W951" s="225"/>
      <c r="X951" s="225"/>
    </row>
    <row r="952" spans="1:24" ht="13.8" x14ac:dyDescent="0.3">
      <c r="A952" s="225"/>
      <c r="B952" s="225"/>
      <c r="C952" s="225"/>
      <c r="D952" s="225"/>
      <c r="E952" s="225"/>
      <c r="F952" s="225"/>
      <c r="G952" s="225"/>
      <c r="H952" s="225"/>
      <c r="I952" s="225"/>
      <c r="J952" s="225"/>
      <c r="K952" s="225"/>
      <c r="L952" s="225"/>
      <c r="M952" s="225"/>
      <c r="N952" s="225"/>
      <c r="O952" s="225"/>
      <c r="P952" s="225"/>
      <c r="Q952" s="225"/>
      <c r="R952" s="225"/>
      <c r="S952" s="225"/>
      <c r="T952" s="225"/>
      <c r="U952" s="225"/>
      <c r="V952" s="225"/>
      <c r="W952" s="225"/>
      <c r="X952" s="225"/>
    </row>
    <row r="953" spans="1:24" ht="13.8" x14ac:dyDescent="0.3">
      <c r="A953" s="225"/>
      <c r="B953" s="225"/>
      <c r="C953" s="225"/>
      <c r="D953" s="225"/>
      <c r="E953" s="225"/>
      <c r="F953" s="225"/>
      <c r="G953" s="225"/>
      <c r="H953" s="225"/>
      <c r="I953" s="225"/>
      <c r="J953" s="225"/>
      <c r="K953" s="225"/>
      <c r="L953" s="225"/>
      <c r="M953" s="225"/>
      <c r="N953" s="225"/>
      <c r="O953" s="225"/>
      <c r="P953" s="225"/>
      <c r="Q953" s="225"/>
      <c r="R953" s="225"/>
      <c r="S953" s="225"/>
      <c r="T953" s="225"/>
      <c r="U953" s="225"/>
      <c r="V953" s="225"/>
      <c r="W953" s="225"/>
      <c r="X953" s="225"/>
    </row>
    <row r="954" spans="1:24" ht="13.8" x14ac:dyDescent="0.3">
      <c r="A954" s="225"/>
      <c r="B954" s="225"/>
      <c r="C954" s="225"/>
      <c r="D954" s="225"/>
      <c r="E954" s="225"/>
      <c r="F954" s="225"/>
      <c r="G954" s="225"/>
      <c r="H954" s="225"/>
      <c r="I954" s="225"/>
      <c r="J954" s="225"/>
      <c r="K954" s="225"/>
      <c r="L954" s="225"/>
      <c r="M954" s="225"/>
      <c r="N954" s="225"/>
      <c r="O954" s="225"/>
      <c r="P954" s="225"/>
      <c r="Q954" s="225"/>
      <c r="R954" s="225"/>
      <c r="S954" s="225"/>
      <c r="T954" s="225"/>
      <c r="U954" s="225"/>
      <c r="V954" s="225"/>
      <c r="W954" s="225"/>
      <c r="X954" s="225"/>
    </row>
    <row r="955" spans="1:24" ht="13.8" x14ac:dyDescent="0.3">
      <c r="A955" s="225"/>
      <c r="B955" s="225"/>
      <c r="C955" s="225"/>
      <c r="D955" s="225"/>
      <c r="E955" s="225"/>
      <c r="F955" s="225"/>
      <c r="G955" s="225"/>
      <c r="H955" s="225"/>
      <c r="I955" s="225"/>
      <c r="J955" s="225"/>
      <c r="K955" s="225"/>
      <c r="L955" s="225"/>
      <c r="M955" s="225"/>
      <c r="N955" s="225"/>
      <c r="O955" s="225"/>
      <c r="P955" s="225"/>
      <c r="Q955" s="225"/>
      <c r="R955" s="225"/>
      <c r="S955" s="225"/>
      <c r="T955" s="225"/>
      <c r="U955" s="225"/>
      <c r="V955" s="225"/>
      <c r="W955" s="225"/>
      <c r="X955" s="225"/>
    </row>
    <row r="956" spans="1:24" ht="13.8" x14ac:dyDescent="0.3">
      <c r="A956" s="225"/>
      <c r="B956" s="225"/>
      <c r="C956" s="225"/>
      <c r="D956" s="225"/>
      <c r="E956" s="225"/>
      <c r="F956" s="225"/>
      <c r="G956" s="225"/>
      <c r="H956" s="225"/>
      <c r="I956" s="225"/>
      <c r="J956" s="225"/>
      <c r="K956" s="225"/>
      <c r="L956" s="225"/>
      <c r="M956" s="225"/>
      <c r="N956" s="225"/>
      <c r="O956" s="225"/>
      <c r="P956" s="225"/>
      <c r="Q956" s="225"/>
      <c r="R956" s="225"/>
      <c r="S956" s="225"/>
      <c r="T956" s="225"/>
      <c r="U956" s="225"/>
      <c r="V956" s="225"/>
      <c r="W956" s="225"/>
      <c r="X956" s="225"/>
    </row>
    <row r="957" spans="1:24" ht="13.8" x14ac:dyDescent="0.3">
      <c r="A957" s="225"/>
      <c r="B957" s="225"/>
      <c r="C957" s="225"/>
      <c r="D957" s="225"/>
      <c r="E957" s="225"/>
      <c r="F957" s="225"/>
      <c r="G957" s="225"/>
      <c r="H957" s="225"/>
      <c r="I957" s="225"/>
      <c r="J957" s="225"/>
      <c r="K957" s="225"/>
      <c r="L957" s="225"/>
      <c r="M957" s="225"/>
      <c r="N957" s="225"/>
      <c r="O957" s="225"/>
      <c r="P957" s="225"/>
      <c r="Q957" s="225"/>
      <c r="R957" s="225"/>
      <c r="S957" s="225"/>
      <c r="T957" s="225"/>
      <c r="U957" s="225"/>
      <c r="V957" s="225"/>
      <c r="W957" s="225"/>
      <c r="X957" s="225"/>
    </row>
    <row r="958" spans="1:24" ht="13.8" x14ac:dyDescent="0.3">
      <c r="A958" s="225"/>
      <c r="B958" s="225"/>
      <c r="C958" s="225"/>
      <c r="D958" s="225"/>
      <c r="E958" s="225"/>
      <c r="F958" s="225"/>
      <c r="G958" s="225"/>
      <c r="H958" s="225"/>
      <c r="I958" s="225"/>
      <c r="J958" s="225"/>
      <c r="K958" s="225"/>
      <c r="L958" s="225"/>
      <c r="M958" s="225"/>
      <c r="N958" s="225"/>
      <c r="O958" s="225"/>
      <c r="P958" s="225"/>
      <c r="Q958" s="225"/>
      <c r="R958" s="225"/>
      <c r="S958" s="225"/>
      <c r="T958" s="225"/>
      <c r="U958" s="225"/>
      <c r="V958" s="225"/>
      <c r="W958" s="225"/>
      <c r="X958" s="225"/>
    </row>
    <row r="959" spans="1:24" ht="13.8" x14ac:dyDescent="0.3">
      <c r="A959" s="225"/>
      <c r="B959" s="225"/>
      <c r="C959" s="225"/>
      <c r="D959" s="225"/>
      <c r="E959" s="225"/>
      <c r="F959" s="225"/>
      <c r="G959" s="225"/>
      <c r="H959" s="225"/>
      <c r="I959" s="225"/>
      <c r="J959" s="225"/>
      <c r="K959" s="225"/>
      <c r="L959" s="225"/>
      <c r="M959" s="225"/>
      <c r="N959" s="225"/>
      <c r="O959" s="225"/>
      <c r="P959" s="225"/>
      <c r="Q959" s="225"/>
      <c r="R959" s="225"/>
      <c r="S959" s="225"/>
      <c r="T959" s="225"/>
      <c r="U959" s="225"/>
      <c r="V959" s="225"/>
      <c r="W959" s="225"/>
      <c r="X959" s="225"/>
    </row>
    <row r="960" spans="1:24" ht="13.8" x14ac:dyDescent="0.3">
      <c r="A960" s="225"/>
      <c r="B960" s="225"/>
      <c r="C960" s="225"/>
      <c r="D960" s="225"/>
      <c r="E960" s="225"/>
      <c r="F960" s="225"/>
      <c r="G960" s="225"/>
      <c r="H960" s="225"/>
      <c r="I960" s="225"/>
      <c r="J960" s="225"/>
      <c r="K960" s="225"/>
      <c r="L960" s="225"/>
      <c r="M960" s="225"/>
      <c r="N960" s="225"/>
      <c r="O960" s="225"/>
      <c r="P960" s="225"/>
      <c r="Q960" s="225"/>
      <c r="R960" s="225"/>
      <c r="S960" s="225"/>
      <c r="T960" s="225"/>
      <c r="U960" s="225"/>
      <c r="V960" s="225"/>
      <c r="W960" s="225"/>
      <c r="X960" s="225"/>
    </row>
    <row r="961" spans="1:24" ht="13.8" x14ac:dyDescent="0.3">
      <c r="A961" s="225"/>
      <c r="B961" s="225"/>
      <c r="C961" s="225"/>
      <c r="D961" s="225"/>
      <c r="E961" s="225"/>
      <c r="F961" s="225"/>
      <c r="G961" s="225"/>
      <c r="H961" s="225"/>
      <c r="I961" s="225"/>
      <c r="J961" s="225"/>
      <c r="K961" s="225"/>
      <c r="L961" s="225"/>
      <c r="M961" s="225"/>
      <c r="N961" s="225"/>
      <c r="O961" s="225"/>
      <c r="P961" s="225"/>
      <c r="Q961" s="225"/>
      <c r="R961" s="225"/>
      <c r="S961" s="225"/>
      <c r="T961" s="225"/>
      <c r="U961" s="225"/>
      <c r="V961" s="225"/>
      <c r="W961" s="225"/>
      <c r="X961" s="225"/>
    </row>
    <row r="962" spans="1:24" ht="13.8" x14ac:dyDescent="0.3">
      <c r="A962" s="225"/>
      <c r="B962" s="225"/>
      <c r="C962" s="225"/>
      <c r="D962" s="225"/>
      <c r="E962" s="225"/>
      <c r="F962" s="225"/>
      <c r="G962" s="225"/>
      <c r="H962" s="225"/>
      <c r="I962" s="225"/>
      <c r="J962" s="225"/>
      <c r="K962" s="225"/>
      <c r="L962" s="225"/>
      <c r="M962" s="225"/>
      <c r="N962" s="225"/>
      <c r="O962" s="225"/>
      <c r="P962" s="225"/>
      <c r="Q962" s="225"/>
      <c r="R962" s="225"/>
      <c r="S962" s="225"/>
      <c r="T962" s="225"/>
      <c r="U962" s="225"/>
      <c r="V962" s="225"/>
      <c r="W962" s="225"/>
      <c r="X962" s="225"/>
    </row>
    <row r="963" spans="1:24" ht="13.8" x14ac:dyDescent="0.3">
      <c r="A963" s="225"/>
      <c r="B963" s="225"/>
      <c r="C963" s="225"/>
      <c r="D963" s="225"/>
      <c r="E963" s="225"/>
      <c r="F963" s="225"/>
      <c r="G963" s="225"/>
      <c r="H963" s="225"/>
      <c r="I963" s="225"/>
      <c r="J963" s="225"/>
      <c r="K963" s="225"/>
      <c r="L963" s="225"/>
      <c r="M963" s="225"/>
      <c r="N963" s="225"/>
      <c r="O963" s="225"/>
      <c r="P963" s="225"/>
      <c r="Q963" s="225"/>
      <c r="R963" s="225"/>
      <c r="S963" s="225"/>
      <c r="T963" s="225"/>
      <c r="U963" s="225"/>
      <c r="V963" s="225"/>
      <c r="W963" s="225"/>
      <c r="X963" s="225"/>
    </row>
  </sheetData>
  <protectedRanges>
    <protectedRange algorithmName="SHA-512" hashValue="j3XsBJ/4oW7THc1pniNLw8XRBsgESbQ857IwPu949UcSVPY96V3DWuZX1U2Ec93m6DuuFDc7tboDDTyMEKyTDQ==" saltValue="X+TUyFS1zuOqoTMBESWM/A==" spinCount="100000" sqref="U335:X1048576" name="Scoring_2_1"/>
    <protectedRange algorithmName="SHA-512" hashValue="hMq1DBbiST668jQyDIjIdbBnNW/u/dnbrQHZfHWR7uIKwZIiBO+5ViwdHPKc92t7W7d7IST1EqGe60eXCoNiBQ==" saltValue="NLiPFIp7sPxnbiXS647sLw==" spinCount="100000" sqref="C335:N1048576" name="CN_2_1"/>
    <protectedRange algorithmName="SHA-512" hashValue="VeZxzcLzQLMY74mwZ3DEb7CD93dWi64TdZtCudah6V3/NiExsNLX6eMmYvZ1d+Bvt41C3C+VTL2soEmQak61mw==" saltValue="v5uT1IpTW7cftqGrkR6zIQ==" spinCount="100000" sqref="A335:A995" name="ID_2_1"/>
    <protectedRange algorithmName="SHA-512" hashValue="j3XsBJ/4oW7THc1pniNLw8XRBsgESbQ857IwPu949UcSVPY96V3DWuZX1U2Ec93m6DuuFDc7tboDDTyMEKyTDQ==" saltValue="X+TUyFS1zuOqoTMBESWM/A==" spinCount="100000" sqref="U1:X334" name="Scoring_2_1_1"/>
    <protectedRange algorithmName="SHA-512" hashValue="hMq1DBbiST668jQyDIjIdbBnNW/u/dnbrQHZfHWR7uIKwZIiBO+5ViwdHPKc92t7W7d7IST1EqGe60eXCoNiBQ==" saltValue="NLiPFIp7sPxnbiXS647sLw==" spinCount="100000" sqref="C1:N334" name="CN_2_1_1"/>
    <protectedRange algorithmName="SHA-512" hashValue="VeZxzcLzQLMY74mwZ3DEb7CD93dWi64TdZtCudah6V3/NiExsNLX6eMmYvZ1d+Bvt41C3C+VTL2soEmQak61mw==" saltValue="v5uT1IpTW7cftqGrkR6zIQ==" spinCount="100000" sqref="A2:A334" name="ID_2_1_1"/>
  </protectedRanges>
  <autoFilter ref="A2:X334" xr:uid="{F149DD12-A215-4F94-9D0E-7008C3D3A25F}"/>
  <phoneticPr fontId="26"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4B87-CBA7-4F67-BED8-B1047987ACB5}">
  <sheetPr>
    <tabColor rgb="FFFF0000"/>
    <outlinePr summaryBelow="0" summaryRight="0"/>
  </sheetPr>
  <dimension ref="A1:AH65"/>
  <sheetViews>
    <sheetView topLeftCell="E2" zoomScale="90" zoomScaleNormal="90" workbookViewId="0">
      <selection activeCell="J5" sqref="J5"/>
    </sheetView>
  </sheetViews>
  <sheetFormatPr defaultColWidth="0" defaultRowHeight="15.75" customHeight="1" zeroHeight="1" x14ac:dyDescent="0.3"/>
  <cols>
    <col min="1" max="1" width="67" style="5" bestFit="1" customWidth="1"/>
    <col min="2" max="2" width="28.69140625" style="5" bestFit="1" customWidth="1"/>
    <col min="3" max="3" width="2.61328125" style="227" customWidth="1"/>
    <col min="4" max="4" width="78.07421875" style="5" customWidth="1"/>
    <col min="5" max="5" width="2.61328125" style="229" customWidth="1"/>
    <col min="6" max="6" width="101.69140625" style="5" customWidth="1"/>
    <col min="7" max="7" width="2.61328125" style="229" customWidth="1"/>
    <col min="8" max="8" width="73" style="5" customWidth="1"/>
    <col min="9" max="9" width="2.61328125" style="229" customWidth="1"/>
    <col min="10" max="10" width="14.61328125" style="5" customWidth="1"/>
    <col min="11" max="11" width="2.61328125" style="229" customWidth="1"/>
    <col min="12" max="12" width="14.61328125" style="5" customWidth="1"/>
    <col min="13" max="13" width="2.61328125" style="229" customWidth="1"/>
    <col min="14" max="14" width="8.765625" style="5" customWidth="1"/>
    <col min="15" max="15" width="40.07421875" style="5" bestFit="1" customWidth="1"/>
    <col min="16" max="17" width="8.765625" style="5" customWidth="1"/>
    <col min="18" max="34" width="0" style="5" hidden="1" customWidth="1"/>
    <col min="35" max="16384" width="8.765625" style="5" hidden="1"/>
  </cols>
  <sheetData>
    <row r="1" spans="1:34" ht="15.75" hidden="1" customHeight="1" x14ac:dyDescent="0.3">
      <c r="A1" s="243" t="s">
        <v>1455</v>
      </c>
    </row>
    <row r="2" spans="1:34" ht="13.8" x14ac:dyDescent="0.3">
      <c r="A2" s="7" t="s">
        <v>1443</v>
      </c>
      <c r="B2" s="7" t="s">
        <v>846</v>
      </c>
      <c r="C2" s="226"/>
      <c r="D2" s="7" t="s">
        <v>865</v>
      </c>
      <c r="E2" s="228"/>
      <c r="F2" s="7" t="s">
        <v>939</v>
      </c>
      <c r="G2" s="228"/>
      <c r="H2" s="7" t="s">
        <v>1152</v>
      </c>
      <c r="I2" s="228"/>
      <c r="J2" s="92" t="s">
        <v>853</v>
      </c>
      <c r="K2" s="232"/>
      <c r="L2" s="92" t="s">
        <v>1156</v>
      </c>
      <c r="M2" s="232"/>
      <c r="N2" s="92" t="s">
        <v>957</v>
      </c>
      <c r="P2" s="62"/>
      <c r="Q2" s="7"/>
      <c r="R2" s="7"/>
      <c r="S2" s="7"/>
      <c r="T2" s="7"/>
      <c r="U2" s="7"/>
      <c r="V2" s="7"/>
      <c r="W2" s="7"/>
      <c r="X2" s="7"/>
      <c r="Y2" s="7"/>
      <c r="Z2" s="7"/>
      <c r="AA2" s="7"/>
      <c r="AB2" s="7"/>
      <c r="AC2" s="7"/>
      <c r="AD2" s="7"/>
      <c r="AE2" s="7"/>
      <c r="AF2" s="7"/>
      <c r="AG2" s="7"/>
      <c r="AH2" s="7"/>
    </row>
    <row r="3" spans="1:34" ht="13.8" x14ac:dyDescent="0.3">
      <c r="A3" s="6" t="s">
        <v>1490</v>
      </c>
      <c r="B3" s="6" t="s">
        <v>845</v>
      </c>
      <c r="D3" s="6" t="s">
        <v>820</v>
      </c>
      <c r="F3" s="6" t="s">
        <v>1150</v>
      </c>
      <c r="H3" s="216" t="s">
        <v>1032</v>
      </c>
      <c r="I3" s="230"/>
      <c r="J3" s="5" t="s">
        <v>40</v>
      </c>
      <c r="L3" s="5" t="s">
        <v>950</v>
      </c>
      <c r="N3" s="93" t="s">
        <v>955</v>
      </c>
      <c r="O3" s="93" t="s">
        <v>956</v>
      </c>
      <c r="P3" s="94" t="s">
        <v>937</v>
      </c>
    </row>
    <row r="4" spans="1:34" ht="13.8" x14ac:dyDescent="0.3">
      <c r="A4" s="6" t="s">
        <v>1491</v>
      </c>
      <c r="B4" s="6" t="s">
        <v>844</v>
      </c>
      <c r="D4" s="6" t="s">
        <v>1472</v>
      </c>
      <c r="F4" s="6" t="s">
        <v>872</v>
      </c>
      <c r="H4" s="6" t="s">
        <v>1033</v>
      </c>
      <c r="I4" s="231"/>
      <c r="J4" s="5" t="s">
        <v>148</v>
      </c>
      <c r="L4" s="5" t="s">
        <v>593</v>
      </c>
      <c r="N4" s="359" t="s">
        <v>874</v>
      </c>
      <c r="O4" s="5" t="s">
        <v>875</v>
      </c>
      <c r="P4" s="62">
        <f>COUNTIF('(backend scoring)'!$B:$B,'Auto Responses'!$N4)</f>
        <v>9</v>
      </c>
    </row>
    <row r="5" spans="1:34" ht="13.8" x14ac:dyDescent="0.3">
      <c r="A5" s="6" t="s">
        <v>1492</v>
      </c>
      <c r="B5" s="6" t="s">
        <v>843</v>
      </c>
      <c r="D5" s="6" t="s">
        <v>1505</v>
      </c>
      <c r="F5" s="6" t="s">
        <v>1405</v>
      </c>
      <c r="H5" s="6" t="s">
        <v>1513</v>
      </c>
      <c r="I5" s="231"/>
      <c r="J5" s="5" t="s">
        <v>1527</v>
      </c>
      <c r="L5" s="5" t="s">
        <v>951</v>
      </c>
      <c r="N5" s="359" t="s">
        <v>876</v>
      </c>
      <c r="O5" s="5" t="s">
        <v>877</v>
      </c>
      <c r="P5" s="62">
        <f>COUNTIF('(backend scoring)'!$B:$B,'Auto Responses'!$N5)</f>
        <v>5</v>
      </c>
    </row>
    <row r="6" spans="1:34" ht="13.8" x14ac:dyDescent="0.3">
      <c r="A6" s="6" t="s">
        <v>1493</v>
      </c>
      <c r="B6" s="6" t="s">
        <v>842</v>
      </c>
      <c r="D6" s="6" t="s">
        <v>1521</v>
      </c>
      <c r="F6" s="6" t="s">
        <v>1408</v>
      </c>
      <c r="L6" s="5" t="s">
        <v>952</v>
      </c>
      <c r="N6" s="359" t="s">
        <v>878</v>
      </c>
      <c r="O6" s="5" t="s">
        <v>879</v>
      </c>
      <c r="P6" s="62">
        <f>COUNTIF('(backend scoring)'!$B:$B,'Auto Responses'!$N6)</f>
        <v>8</v>
      </c>
    </row>
    <row r="7" spans="1:34" ht="13.8" x14ac:dyDescent="0.3">
      <c r="A7" s="6" t="s">
        <v>1494</v>
      </c>
      <c r="B7" s="6" t="s">
        <v>841</v>
      </c>
      <c r="D7" s="6" t="s">
        <v>1409</v>
      </c>
      <c r="F7" s="6" t="s">
        <v>1151</v>
      </c>
      <c r="J7" s="5" t="s">
        <v>854</v>
      </c>
      <c r="L7" s="5" t="s">
        <v>953</v>
      </c>
      <c r="N7" s="359" t="s">
        <v>880</v>
      </c>
      <c r="O7" s="5" t="s">
        <v>881</v>
      </c>
      <c r="P7" s="62">
        <f>COUNTIF('(backend scoring)'!$B:$B,'Auto Responses'!$N7)</f>
        <v>7</v>
      </c>
    </row>
    <row r="8" spans="1:34" ht="13.8" x14ac:dyDescent="0.3">
      <c r="A8" s="6" t="s">
        <v>1495</v>
      </c>
      <c r="B8" s="6" t="s">
        <v>840</v>
      </c>
      <c r="D8" s="5" t="s">
        <v>1404</v>
      </c>
      <c r="F8" s="5" t="s">
        <v>1469</v>
      </c>
      <c r="J8" s="5" t="s">
        <v>855</v>
      </c>
      <c r="L8" s="5" t="s">
        <v>954</v>
      </c>
      <c r="N8" s="359" t="s">
        <v>882</v>
      </c>
      <c r="O8" s="5" t="s">
        <v>883</v>
      </c>
      <c r="P8" s="62">
        <f>COUNTIF('(backend scoring)'!$B:$B,'Auto Responses'!$N8)</f>
        <v>18</v>
      </c>
    </row>
    <row r="9" spans="1:34" ht="13.8" x14ac:dyDescent="0.3">
      <c r="A9" s="6" t="s">
        <v>1496</v>
      </c>
      <c r="B9" s="6" t="s">
        <v>839</v>
      </c>
      <c r="D9" s="5" t="s">
        <v>1470</v>
      </c>
      <c r="L9" s="5" t="s">
        <v>646</v>
      </c>
      <c r="N9" s="359" t="s">
        <v>884</v>
      </c>
      <c r="O9" s="5" t="s">
        <v>885</v>
      </c>
      <c r="P9" s="62">
        <f>COUNTIF('(backend scoring)'!$B:$B,'Auto Responses'!$N9)</f>
        <v>5</v>
      </c>
    </row>
    <row r="10" spans="1:34" ht="13.8" x14ac:dyDescent="0.3">
      <c r="A10" s="6" t="s">
        <v>1702</v>
      </c>
      <c r="B10" s="6" t="s">
        <v>838</v>
      </c>
      <c r="N10" s="359" t="s">
        <v>886</v>
      </c>
      <c r="O10" s="5" t="s">
        <v>887</v>
      </c>
      <c r="P10" s="62">
        <f>COUNTIF('(backend scoring)'!$B:$B,'Auto Responses'!$N10)</f>
        <v>9</v>
      </c>
    </row>
    <row r="11" spans="1:34" ht="13.8" x14ac:dyDescent="0.3">
      <c r="A11" s="6" t="s">
        <v>1703</v>
      </c>
      <c r="B11" s="6" t="s">
        <v>837</v>
      </c>
      <c r="J11" s="5" t="s">
        <v>46</v>
      </c>
      <c r="N11" s="359" t="s">
        <v>888</v>
      </c>
      <c r="O11" s="5" t="s">
        <v>889</v>
      </c>
      <c r="P11" s="62">
        <f>COUNTIF('(backend scoring)'!$B:$B,'Auto Responses'!$N11)</f>
        <v>14</v>
      </c>
    </row>
    <row r="12" spans="1:34" ht="13.8" x14ac:dyDescent="0.3">
      <c r="A12" s="6" t="s">
        <v>1139</v>
      </c>
      <c r="B12" s="6" t="s">
        <v>836</v>
      </c>
      <c r="F12" s="6"/>
      <c r="J12" s="5" t="s">
        <v>75</v>
      </c>
      <c r="L12" s="92" t="s">
        <v>1860</v>
      </c>
      <c r="N12" s="359" t="s">
        <v>890</v>
      </c>
      <c r="O12" s="5" t="s">
        <v>1440</v>
      </c>
      <c r="P12" s="62">
        <f>COUNTIF('(backend scoring)'!$B:$B,'Auto Responses'!$N12)</f>
        <v>18</v>
      </c>
    </row>
    <row r="13" spans="1:34" ht="13.8" x14ac:dyDescent="0.3">
      <c r="A13" s="6" t="s">
        <v>1140</v>
      </c>
      <c r="B13" s="6" t="s">
        <v>835</v>
      </c>
      <c r="F13" s="6"/>
      <c r="J13" s="5" t="s">
        <v>41</v>
      </c>
      <c r="L13" s="5" t="s">
        <v>23</v>
      </c>
      <c r="N13" s="359" t="s">
        <v>891</v>
      </c>
      <c r="O13" s="5" t="s">
        <v>892</v>
      </c>
      <c r="P13" s="62">
        <f>COUNTIF('(backend scoring)'!$B:$B,'Auto Responses'!$N13)</f>
        <v>16</v>
      </c>
    </row>
    <row r="14" spans="1:34" ht="13.8" x14ac:dyDescent="0.3">
      <c r="A14" s="6" t="s">
        <v>53</v>
      </c>
      <c r="B14" s="6" t="s">
        <v>834</v>
      </c>
      <c r="J14" s="5" t="s">
        <v>868</v>
      </c>
      <c r="L14" s="5" t="s">
        <v>1861</v>
      </c>
      <c r="N14" s="359" t="s">
        <v>893</v>
      </c>
      <c r="O14" s="5" t="s">
        <v>894</v>
      </c>
      <c r="P14" s="62">
        <f>COUNTIF('(backend scoring)'!$B:$B,'Auto Responses'!$N14)</f>
        <v>23</v>
      </c>
    </row>
    <row r="15" spans="1:34" ht="13.8" x14ac:dyDescent="0.3">
      <c r="A15" s="6" t="s">
        <v>52</v>
      </c>
      <c r="B15" s="6" t="s">
        <v>833</v>
      </c>
      <c r="L15" s="5" t="s">
        <v>131</v>
      </c>
      <c r="N15" s="359" t="s">
        <v>895</v>
      </c>
      <c r="O15" s="5" t="s">
        <v>896</v>
      </c>
      <c r="P15" s="62">
        <f>COUNTIF('(backend scoring)'!$B:$B,'Auto Responses'!$N15)</f>
        <v>16</v>
      </c>
    </row>
    <row r="16" spans="1:34" ht="13.8" x14ac:dyDescent="0.3">
      <c r="A16" s="6" t="s">
        <v>1141</v>
      </c>
      <c r="B16" s="6" t="s">
        <v>832</v>
      </c>
      <c r="L16" s="5" t="s">
        <v>4</v>
      </c>
      <c r="N16" s="359" t="s">
        <v>897</v>
      </c>
      <c r="O16" s="5" t="s">
        <v>1518</v>
      </c>
      <c r="P16" s="62">
        <f>COUNTIF('(backend scoring)'!$B:$B,'Auto Responses'!$N16)</f>
        <v>11</v>
      </c>
    </row>
    <row r="17" spans="1:20" ht="13.8" x14ac:dyDescent="0.3">
      <c r="A17" s="6" t="s">
        <v>1142</v>
      </c>
      <c r="B17" s="6" t="s">
        <v>831</v>
      </c>
      <c r="J17" s="5" t="s">
        <v>1153</v>
      </c>
      <c r="L17" s="5" t="s">
        <v>162</v>
      </c>
      <c r="N17" s="359" t="s">
        <v>898</v>
      </c>
      <c r="O17" s="5" t="s">
        <v>899</v>
      </c>
      <c r="P17" s="62">
        <f>COUNTIF('(backend scoring)'!$B:$B,'Auto Responses'!$N17)</f>
        <v>15</v>
      </c>
    </row>
    <row r="18" spans="1:20" ht="13.8" x14ac:dyDescent="0.3">
      <c r="A18" s="6" t="s">
        <v>1143</v>
      </c>
      <c r="B18" s="6" t="s">
        <v>830</v>
      </c>
      <c r="J18" s="5" t="s">
        <v>1154</v>
      </c>
      <c r="L18" s="5" t="s">
        <v>98</v>
      </c>
      <c r="N18" s="359" t="s">
        <v>900</v>
      </c>
      <c r="O18" s="5" t="s">
        <v>901</v>
      </c>
      <c r="P18" s="62">
        <f>COUNTIF('(backend scoring)'!$B:$B,'Auto Responses'!$N18)</f>
        <v>4</v>
      </c>
    </row>
    <row r="19" spans="1:20" ht="13.8" x14ac:dyDescent="0.3">
      <c r="A19" s="6" t="s">
        <v>1144</v>
      </c>
      <c r="B19" s="6" t="s">
        <v>829</v>
      </c>
      <c r="J19" s="5" t="s">
        <v>1155</v>
      </c>
      <c r="L19" s="5" t="s">
        <v>147</v>
      </c>
      <c r="N19" s="359" t="s">
        <v>902</v>
      </c>
      <c r="O19" s="5" t="s">
        <v>903</v>
      </c>
      <c r="P19" s="62">
        <f>COUNTIF('(backend scoring)'!$B:$B,'Auto Responses'!$N19)</f>
        <v>6</v>
      </c>
    </row>
    <row r="20" spans="1:20" ht="13.8" x14ac:dyDescent="0.3">
      <c r="A20" s="6" t="s">
        <v>1145</v>
      </c>
      <c r="B20" s="6" t="s">
        <v>828</v>
      </c>
      <c r="J20" s="5" t="s">
        <v>862</v>
      </c>
      <c r="L20" s="5" t="s">
        <v>8</v>
      </c>
      <c r="N20" s="359" t="s">
        <v>904</v>
      </c>
      <c r="O20" s="5" t="s">
        <v>1441</v>
      </c>
      <c r="P20" s="62">
        <f>COUNTIF('(backend scoring)'!$B:$B,'Auto Responses'!$N20)</f>
        <v>29</v>
      </c>
    </row>
    <row r="21" spans="1:20" ht="13.8" x14ac:dyDescent="0.3">
      <c r="A21" s="6" t="s">
        <v>1146</v>
      </c>
      <c r="B21" s="6" t="s">
        <v>827</v>
      </c>
      <c r="J21" s="5" t="s">
        <v>863</v>
      </c>
      <c r="L21" s="5" t="s">
        <v>9</v>
      </c>
      <c r="N21" s="359" t="s">
        <v>905</v>
      </c>
      <c r="O21" s="5" t="s">
        <v>941</v>
      </c>
      <c r="P21" s="62">
        <f>COUNTIF('(backend scoring)'!$B:$B,'Auto Responses'!$N21)</f>
        <v>12</v>
      </c>
    </row>
    <row r="22" spans="1:20" ht="13.8" x14ac:dyDescent="0.3">
      <c r="A22" s="6" t="s">
        <v>1147</v>
      </c>
      <c r="B22" s="6" t="s">
        <v>826</v>
      </c>
      <c r="J22" s="5" t="s">
        <v>864</v>
      </c>
      <c r="N22" s="359" t="s">
        <v>906</v>
      </c>
      <c r="O22" s="5" t="s">
        <v>1148</v>
      </c>
      <c r="P22" s="62">
        <f>COUNTIF('(backend scoring)'!$B:$B,'Auto Responses'!$N22)</f>
        <v>10</v>
      </c>
    </row>
    <row r="23" spans="1:20" ht="13.8" x14ac:dyDescent="0.3">
      <c r="A23" s="6" t="s">
        <v>1149</v>
      </c>
      <c r="B23" s="6" t="s">
        <v>825</v>
      </c>
      <c r="J23" s="5" t="s">
        <v>1506</v>
      </c>
      <c r="N23" s="359" t="s">
        <v>907</v>
      </c>
      <c r="O23" s="5" t="s">
        <v>908</v>
      </c>
      <c r="P23" s="62">
        <f>COUNTIF('(backend scoring)'!$B:$B,'Auto Responses'!$N23)</f>
        <v>5</v>
      </c>
    </row>
    <row r="24" spans="1:20" ht="13.8" x14ac:dyDescent="0.3">
      <c r="A24" s="6" t="s">
        <v>1406</v>
      </c>
      <c r="B24" s="6" t="s">
        <v>824</v>
      </c>
      <c r="N24" s="359" t="s">
        <v>909</v>
      </c>
      <c r="O24" s="5" t="s">
        <v>910</v>
      </c>
      <c r="P24" s="62">
        <f>COUNTIF('(backend scoring)'!$B:$B,'Auto Responses'!$N24)</f>
        <v>4</v>
      </c>
    </row>
    <row r="25" spans="1:20" ht="13.8" x14ac:dyDescent="0.3">
      <c r="A25" s="6" t="s">
        <v>1407</v>
      </c>
      <c r="B25" s="6" t="s">
        <v>823</v>
      </c>
      <c r="N25" s="359" t="s">
        <v>911</v>
      </c>
      <c r="O25" s="5" t="s">
        <v>938</v>
      </c>
      <c r="P25" s="62">
        <f>COUNTIF('(backend scoring)'!$B:$B,'Auto Responses'!$N25)</f>
        <v>3</v>
      </c>
    </row>
    <row r="26" spans="1:20" ht="13.8" x14ac:dyDescent="0.3">
      <c r="A26" s="6" t="s">
        <v>822</v>
      </c>
      <c r="B26" s="6" t="s">
        <v>821</v>
      </c>
      <c r="N26" s="359" t="s">
        <v>912</v>
      </c>
      <c r="O26" s="5" t="s">
        <v>913</v>
      </c>
      <c r="P26" s="62">
        <f>COUNTIF('(backend scoring)'!$B:$B,'Auto Responses'!$N26)</f>
        <v>2</v>
      </c>
    </row>
    <row r="27" spans="1:20" ht="15.75" customHeight="1" x14ac:dyDescent="0.3">
      <c r="A27" s="5" t="s">
        <v>1403</v>
      </c>
      <c r="J27" s="5" t="s">
        <v>37</v>
      </c>
      <c r="N27" s="359" t="s">
        <v>914</v>
      </c>
      <c r="O27" s="5" t="s">
        <v>915</v>
      </c>
      <c r="P27" s="62">
        <f>COUNTIF('(backend scoring)'!$B:$B,'Auto Responses'!$N27)</f>
        <v>2</v>
      </c>
    </row>
    <row r="28" spans="1:20" ht="15.75" customHeight="1" x14ac:dyDescent="0.3">
      <c r="A28" s="6" t="s">
        <v>1863</v>
      </c>
      <c r="J28" s="5" t="s">
        <v>22</v>
      </c>
      <c r="N28" s="359" t="s">
        <v>916</v>
      </c>
      <c r="O28" s="5" t="s">
        <v>917</v>
      </c>
      <c r="P28" s="62">
        <f>COUNTIF('(backend scoring)'!$B:$B,'Auto Responses'!$N28)</f>
        <v>8</v>
      </c>
    </row>
    <row r="29" spans="1:20" ht="15.75" customHeight="1" x14ac:dyDescent="0.3">
      <c r="A29" s="6"/>
      <c r="N29" s="359" t="s">
        <v>918</v>
      </c>
      <c r="O29" s="5" t="s">
        <v>919</v>
      </c>
      <c r="P29" s="62">
        <f>COUNTIF('(backend scoring)'!$B:$B,'Auto Responses'!$N29)</f>
        <v>13</v>
      </c>
    </row>
    <row r="30" spans="1:20" ht="15.75" customHeight="1" x14ac:dyDescent="0.3">
      <c r="A30" s="6"/>
      <c r="N30" s="359" t="s">
        <v>920</v>
      </c>
      <c r="O30" s="5" t="s">
        <v>921</v>
      </c>
      <c r="P30" s="62">
        <f>COUNTIF('(backend scoring)'!$B:$B,'Auto Responses'!$N30)</f>
        <v>5</v>
      </c>
    </row>
    <row r="31" spans="1:20" ht="15.75" customHeight="1" x14ac:dyDescent="0.3">
      <c r="A31" s="6"/>
      <c r="N31" s="359" t="s">
        <v>1054</v>
      </c>
      <c r="O31" s="5" t="s">
        <v>922</v>
      </c>
      <c r="P31" s="62">
        <f>COUNTIF('(backend scoring)'!$B:$B,'Auto Responses'!$N31)</f>
        <v>15</v>
      </c>
      <c r="T31" s="6"/>
    </row>
    <row r="32" spans="1:20" ht="15.75" customHeight="1" x14ac:dyDescent="0.3">
      <c r="A32" s="6" t="str">
        <f>LEFT($A$3,21)</f>
        <v>Based on the response</v>
      </c>
      <c r="N32" s="359" t="s">
        <v>923</v>
      </c>
      <c r="O32" s="5" t="s">
        <v>924</v>
      </c>
      <c r="P32" s="62">
        <f>COUNTIF('(backend scoring)'!$B:$B,'Auto Responses'!$N32)</f>
        <v>8</v>
      </c>
    </row>
    <row r="33" spans="1:16" ht="15.75" customHeight="1" x14ac:dyDescent="0.3">
      <c r="A33" s="5" t="s">
        <v>1545</v>
      </c>
      <c r="N33" s="359" t="s">
        <v>925</v>
      </c>
      <c r="O33" s="5" t="s">
        <v>926</v>
      </c>
      <c r="P33" s="62">
        <f>COUNTIF('(backend scoring)'!$B:$B,'Auto Responses'!$N33)</f>
        <v>2</v>
      </c>
    </row>
    <row r="34" spans="1:16" ht="15.75" customHeight="1" x14ac:dyDescent="0.3">
      <c r="A34" s="6"/>
      <c r="N34" s="359" t="s">
        <v>927</v>
      </c>
      <c r="O34" s="5" t="s">
        <v>928</v>
      </c>
      <c r="P34" s="62">
        <f>COUNTIF('(backend scoring)'!$B:$B,'Auto Responses'!$N34)</f>
        <v>5</v>
      </c>
    </row>
    <row r="35" spans="1:16" ht="15.75" customHeight="1" x14ac:dyDescent="0.3">
      <c r="A35" s="6"/>
      <c r="N35" s="359" t="s">
        <v>929</v>
      </c>
      <c r="O35" s="5" t="s">
        <v>930</v>
      </c>
      <c r="P35" s="62">
        <f>COUNTIF('(backend scoring)'!$B:$B,'Auto Responses'!$N35)</f>
        <v>5</v>
      </c>
    </row>
    <row r="36" spans="1:16" ht="15.75" customHeight="1" x14ac:dyDescent="0.3">
      <c r="A36" s="6" t="s">
        <v>1864</v>
      </c>
      <c r="N36" s="359" t="s">
        <v>931</v>
      </c>
      <c r="O36" s="5" t="s">
        <v>932</v>
      </c>
      <c r="P36" s="62">
        <f>COUNTIF('(backend scoring)'!$B:$B,'Auto Responses'!$N36)</f>
        <v>5</v>
      </c>
    </row>
    <row r="37" spans="1:16" ht="15.75" customHeight="1" x14ac:dyDescent="0.3">
      <c r="A37" s="6"/>
      <c r="N37" s="359" t="s">
        <v>933</v>
      </c>
      <c r="O37" s="5" t="s">
        <v>934</v>
      </c>
      <c r="P37" s="62">
        <f>COUNTIF('(backend scoring)'!$B:$B,'Auto Responses'!$N37)</f>
        <v>8</v>
      </c>
    </row>
    <row r="38" spans="1:16" ht="15.75" customHeight="1" x14ac:dyDescent="0.3">
      <c r="A38" s="6"/>
      <c r="N38" s="359" t="s">
        <v>935</v>
      </c>
      <c r="O38" s="5" t="s">
        <v>936</v>
      </c>
      <c r="P38" s="62">
        <f>COUNTIF('(backend scoring)'!$B:$B,'Auto Responses'!$N38)</f>
        <v>6</v>
      </c>
    </row>
    <row r="39" spans="1:16" ht="15.75" customHeight="1" x14ac:dyDescent="0.3">
      <c r="A39" s="242" t="s">
        <v>1450</v>
      </c>
    </row>
    <row r="40" spans="1:16" ht="15.75" hidden="1" customHeight="1" x14ac:dyDescent="0.3">
      <c r="A40" s="6"/>
    </row>
    <row r="41" spans="1:16" ht="15.75" hidden="1" customHeight="1" x14ac:dyDescent="0.3">
      <c r="A41" s="6"/>
    </row>
    <row r="42" spans="1:16" ht="15.75" hidden="1" customHeight="1" x14ac:dyDescent="0.3">
      <c r="A42" s="216"/>
    </row>
    <row r="43" spans="1:16" ht="15.75" hidden="1" customHeight="1" x14ac:dyDescent="0.3">
      <c r="A43" s="6"/>
    </row>
    <row r="44" spans="1:16" ht="15.75" hidden="1" customHeight="1" x14ac:dyDescent="0.3">
      <c r="A44" s="6"/>
    </row>
    <row r="45" spans="1:16" ht="15.75" hidden="1" customHeight="1" x14ac:dyDescent="0.3">
      <c r="A45" s="6"/>
    </row>
    <row r="51" spans="4:4" ht="15.75" hidden="1" customHeight="1" x14ac:dyDescent="0.3">
      <c r="D51" s="217"/>
    </row>
    <row r="52" spans="4:4" ht="15.75" hidden="1" customHeight="1" x14ac:dyDescent="0.3">
      <c r="D52" s="217"/>
    </row>
    <row r="53" spans="4:4" ht="15.75" hidden="1" customHeight="1" x14ac:dyDescent="0.3">
      <c r="D53" s="217"/>
    </row>
    <row r="54" spans="4:4" ht="15.75" hidden="1" customHeight="1" x14ac:dyDescent="0.3">
      <c r="D54" s="217"/>
    </row>
    <row r="55" spans="4:4" ht="15.75" hidden="1" customHeight="1" x14ac:dyDescent="0.3">
      <c r="D55" s="217"/>
    </row>
    <row r="56" spans="4:4" ht="15.75" hidden="1" customHeight="1" x14ac:dyDescent="0.3">
      <c r="D56" s="217"/>
    </row>
    <row r="57" spans="4:4" ht="15.75" hidden="1" customHeight="1" x14ac:dyDescent="0.3">
      <c r="D57" s="217"/>
    </row>
    <row r="58" spans="4:4" ht="15.75" hidden="1" customHeight="1" x14ac:dyDescent="0.3">
      <c r="D58" s="217"/>
    </row>
    <row r="59" spans="4:4" ht="15.75" hidden="1" customHeight="1" x14ac:dyDescent="0.3">
      <c r="D59" s="217"/>
    </row>
    <row r="60" spans="4:4" ht="15.75" hidden="1" customHeight="1" x14ac:dyDescent="0.3">
      <c r="D60" s="217"/>
    </row>
    <row r="61" spans="4:4" ht="15.75" hidden="1" customHeight="1" x14ac:dyDescent="0.3">
      <c r="D61" s="217"/>
    </row>
    <row r="62" spans="4:4" ht="15.75" hidden="1" customHeight="1" x14ac:dyDescent="0.3">
      <c r="D62" s="217"/>
    </row>
    <row r="63" spans="4:4" ht="15.75" hidden="1" customHeight="1" x14ac:dyDescent="0.3">
      <c r="D63" s="217"/>
    </row>
    <row r="64" spans="4:4" ht="15.75" hidden="1" customHeight="1" x14ac:dyDescent="0.3">
      <c r="D64" s="217"/>
    </row>
    <row r="65" spans="4:4" ht="15.75" hidden="1" customHeight="1" x14ac:dyDescent="0.3">
      <c r="D65" s="217"/>
    </row>
  </sheetData>
  <conditionalFormatting sqref="D8">
    <cfRule type="expression" dxfId="0" priority="1">
      <formula>ISNUMBER(FIND("*",#REF!))</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A376-A694-4C57-ABC3-273136BB8C1A}">
  <sheetPr>
    <tabColor theme="2" tint="-9.9978637043366805E-2"/>
  </sheetPr>
  <dimension ref="A1:W963"/>
  <sheetViews>
    <sheetView zoomScale="90" zoomScaleNormal="90" workbookViewId="0">
      <pane xSplit="1" ySplit="2" topLeftCell="E281" activePane="bottomRight" state="frozen"/>
      <selection pane="topRight" activeCell="B1" sqref="B1"/>
      <selection pane="bottomLeft" activeCell="A2" sqref="A2"/>
      <selection pane="bottomRight" activeCell="L288" sqref="L288"/>
    </sheetView>
  </sheetViews>
  <sheetFormatPr defaultColWidth="0" defaultRowHeight="16.2" zeroHeight="1" x14ac:dyDescent="0.3"/>
  <cols>
    <col min="1" max="1" width="8.765625" style="2" customWidth="1"/>
    <col min="2" max="2" width="0" style="2" hidden="1" customWidth="1"/>
    <col min="3" max="3" width="35.69140625" style="2" customWidth="1"/>
    <col min="4" max="4" width="15.3828125" style="2" customWidth="1"/>
    <col min="5" max="6" width="12.69140625" style="2" customWidth="1"/>
    <col min="7" max="8" width="8.765625" style="2" customWidth="1"/>
    <col min="9" max="10" width="10.921875" style="2" customWidth="1"/>
    <col min="11" max="11" width="11.23046875" style="2" customWidth="1"/>
    <col min="12" max="12" width="12" style="107" customWidth="1"/>
    <col min="13" max="14" width="13" style="101" customWidth="1"/>
    <col min="15" max="16" width="8.765625" style="101" customWidth="1"/>
    <col min="17" max="22" width="8.765625" style="107" customWidth="1"/>
    <col min="23" max="23" width="8.765625" style="101" customWidth="1"/>
    <col min="24" max="16384" width="8.765625" style="101" hidden="1"/>
  </cols>
  <sheetData>
    <row r="1" spans="1:22" hidden="1" x14ac:dyDescent="0.3">
      <c r="A1" s="244" t="s">
        <v>1456</v>
      </c>
    </row>
    <row r="2" spans="1:22" ht="82.8" x14ac:dyDescent="0.3">
      <c r="A2" s="102" t="s">
        <v>0</v>
      </c>
      <c r="B2" s="108" t="s">
        <v>963</v>
      </c>
      <c r="C2" s="102" t="s">
        <v>1</v>
      </c>
      <c r="D2" s="102" t="s">
        <v>10</v>
      </c>
      <c r="E2" s="103" t="s">
        <v>11</v>
      </c>
      <c r="F2" s="104" t="s">
        <v>847</v>
      </c>
      <c r="G2" s="105" t="s">
        <v>869</v>
      </c>
      <c r="H2" s="105" t="s">
        <v>871</v>
      </c>
      <c r="I2" s="106" t="s">
        <v>19</v>
      </c>
      <c r="J2" s="105" t="s">
        <v>856</v>
      </c>
      <c r="K2" s="105" t="s">
        <v>961</v>
      </c>
      <c r="L2" s="105" t="s">
        <v>960</v>
      </c>
      <c r="M2" s="105" t="s">
        <v>962</v>
      </c>
      <c r="N2" s="105" t="s">
        <v>966</v>
      </c>
      <c r="O2" s="105" t="s">
        <v>958</v>
      </c>
      <c r="P2" s="105" t="s">
        <v>959</v>
      </c>
      <c r="Q2" s="159" t="s">
        <v>977</v>
      </c>
      <c r="R2" s="159" t="s">
        <v>978</v>
      </c>
      <c r="S2" s="159" t="s">
        <v>979</v>
      </c>
      <c r="T2" s="159" t="s">
        <v>980</v>
      </c>
      <c r="U2" s="159" t="s">
        <v>981</v>
      </c>
      <c r="V2" s="159" t="s">
        <v>982</v>
      </c>
    </row>
    <row r="3" spans="1:22" ht="55.2" x14ac:dyDescent="0.3">
      <c r="A3" s="4" t="str">
        <f>Questions!$A3</f>
        <v>GNRL-01</v>
      </c>
      <c r="B3" s="4" t="str">
        <f>LEFT(A3,4)</f>
        <v>GNRL</v>
      </c>
      <c r="C3" s="4" t="str">
        <f>VLOOKUP($A3,Questions!$A$3:$L$333,2,0)&amp;""</f>
        <v>Solution Provider Name</v>
      </c>
      <c r="D3" s="4" t="str">
        <f>VLOOKUP($A3,Questions!$A$3:$L$333,11,0)&amp;""</f>
        <v>NA</v>
      </c>
      <c r="E3" s="4" t="str">
        <f>VLOOKUP($A3,Questions!$A$3:$L$333,12,0)&amp;""</f>
        <v>Not Scored</v>
      </c>
      <c r="F3" s="4" t="str">
        <f>VLOOKUP($A3,'Institution Evaluation'!$A$56:$K$345,3,0)&amp;""</f>
        <v>Cursive Technology Inc</v>
      </c>
      <c r="G3" s="4" t="str">
        <f>VLOOKUP($A3,'Institution Evaluation'!$A$56:$K$345,7,0)&amp;""</f>
        <v>Not scored</v>
      </c>
      <c r="H3" s="4" t="str">
        <f>VLOOKUP($A3,'Institution Evaluation'!$A$56:$K$345,8,0)&amp;""</f>
        <v/>
      </c>
      <c r="I3" s="4" t="str">
        <f>VLOOKUP($A3,'Institution Evaluation'!$A$56:$K$345,9,0)&amp;""</f>
        <v/>
      </c>
      <c r="J3" s="4" t="str">
        <f>VLOOKUP($A3,'Institution Evaluation'!$A$56:$K$345,10,0)&amp;""</f>
        <v/>
      </c>
      <c r="K3" s="4">
        <f>IF($I3='Auto Responses'!$J$11,20,IF($I3='Auto Responses'!$J$13,5,10))</f>
        <v>10</v>
      </c>
      <c r="L3" s="107" t="str">
        <f>IF($E3='Auto Responses'!$L$13, 'Auto Responses'!$J$5,IF(AND($D3='Auto Responses'!$J$27,$H3=""),'Auto Responses'!$J$5,IF(AND($D3='Auto Responses'!$J$27,$H3='Auto Responses'!$J$7),1,IF(AND($D3='Auto Responses'!$J$27,$H3='Auto Responses'!$J$8),0,IF(OR(AND($F3=$G3,$H3=""),$H3='Auto Responses'!$J$7),1,0)))))</f>
        <v>N/A</v>
      </c>
      <c r="M3" s="4" t="str">
        <f>VLOOKUP($A3,'Institution Evaluation'!$A$56:$K$345,11,0)&amp;""</f>
        <v/>
      </c>
      <c r="N3" s="4">
        <f>IF($J3='Auto Responses'!$J$11,1,IF(AND($J3="",$I3='Auto Responses'!$J$11),1,0))</f>
        <v>0</v>
      </c>
      <c r="O3" s="107" t="str">
        <f>IF($E3='Auto Responses'!$L$13,'Auto Responses'!$J$5,IF($J3="",$K3,IF($J3='Auto Responses'!$J$13,5,IF($J3='Auto Responses'!$J$12,10,IF($J3='Auto Responses'!$J$11,20,0)))))</f>
        <v>N/A</v>
      </c>
      <c r="P3" s="107" t="str">
        <f>IF(OR($O3='Auto Responses'!$J$5,$L3='Auto Responses'!$J$5),'Auto Responses'!$J$5,$O3*$L3)</f>
        <v>N/A</v>
      </c>
      <c r="Q3" s="107">
        <f>IF(M3="TRUE",1,0)</f>
        <v>0</v>
      </c>
      <c r="R3" s="107">
        <f>Q3</f>
        <v>0</v>
      </c>
      <c r="S3" s="107">
        <f>IF(Q3=0,0,R3)</f>
        <v>0</v>
      </c>
      <c r="T3" s="107">
        <f>IF(N3=1,1,0)</f>
        <v>0</v>
      </c>
      <c r="U3" s="107">
        <f>T3</f>
        <v>0</v>
      </c>
      <c r="V3" s="107">
        <f>IF(T3=0,0,U3)</f>
        <v>0</v>
      </c>
    </row>
    <row r="4" spans="1:22" ht="55.2" x14ac:dyDescent="0.3">
      <c r="A4" s="4" t="str">
        <f>Questions!$A4</f>
        <v>GNRL-02</v>
      </c>
      <c r="B4" s="4" t="str">
        <f t="shared" ref="B4:B67" si="0">LEFT(A4,4)</f>
        <v>GNRL</v>
      </c>
      <c r="C4" s="4" t="str">
        <f>VLOOKUP($A4,Questions!$A$3:$L$333,2,0)&amp;""</f>
        <v>Solution Name</v>
      </c>
      <c r="D4" s="4" t="str">
        <f>VLOOKUP($A4,Questions!$A$3:$L$333,11,0)&amp;""</f>
        <v>NA</v>
      </c>
      <c r="E4" s="4" t="str">
        <f>VLOOKUP($A4,Questions!$A$3:$L$333,12,0)&amp;""</f>
        <v>Not Scored</v>
      </c>
      <c r="F4" s="4" t="str">
        <f>VLOOKUP($A4,'Institution Evaluation'!$A$56:$K$345,3,0)&amp;""</f>
        <v>TypeID</v>
      </c>
      <c r="G4" s="4" t="str">
        <f>VLOOKUP($A4,'Institution Evaluation'!$A$56:$K$345,7,0)&amp;""</f>
        <v>Not scored</v>
      </c>
      <c r="H4" s="4" t="str">
        <f>VLOOKUP($A4,'Institution Evaluation'!$A$56:$K$345,8,0)&amp;""</f>
        <v/>
      </c>
      <c r="I4" s="4" t="str">
        <f>VLOOKUP($A4,'Institution Evaluation'!$A$56:$K$345,9,0)&amp;""</f>
        <v/>
      </c>
      <c r="J4" s="4" t="str">
        <f>VLOOKUP($A4,'Institution Evaluation'!$A$56:$K$345,10,0)&amp;""</f>
        <v/>
      </c>
      <c r="K4" s="4">
        <f>IF($I4='Auto Responses'!$J$11,20,IF($I4='Auto Responses'!$J$13,5,10))</f>
        <v>10</v>
      </c>
      <c r="L4" s="107" t="str">
        <f>IF($E4='Auto Responses'!$L$13, 'Auto Responses'!$J$5,IF(AND($D4='Auto Responses'!$J$27,$H4=""),'Auto Responses'!$J$5,IF(AND($D4='Auto Responses'!$J$27,$H4='Auto Responses'!$J$7),1,IF(AND($D4='Auto Responses'!$J$27,$H4='Auto Responses'!$J$8),0,IF(OR(AND($F4=$G4,$H4=""),$H4='Auto Responses'!$J$7),1,0)))))</f>
        <v>N/A</v>
      </c>
      <c r="M4" s="4" t="str">
        <f>VLOOKUP($A4,'Institution Evaluation'!$A$56:$K$345,11,0)&amp;""</f>
        <v/>
      </c>
      <c r="N4" s="4">
        <f>IF($J4='Auto Responses'!$J$11,1,IF(AND($J4="",$I4='Auto Responses'!$J$11),1,0))</f>
        <v>0</v>
      </c>
      <c r="O4" s="107" t="str">
        <f>IF($E4='Auto Responses'!$L$13,'Auto Responses'!$J$5,IF($J4="",$K4,IF($J4='Auto Responses'!$J$13,5,IF($J4='Auto Responses'!$J$12,10,IF($J4='Auto Responses'!$J$11,20,0)))))</f>
        <v>N/A</v>
      </c>
      <c r="P4" s="107" t="str">
        <f>IF(OR($O4='Auto Responses'!$J$5,$L4='Auto Responses'!$J$5),'Auto Responses'!$J$5,$O4*$L4)</f>
        <v>N/A</v>
      </c>
      <c r="Q4" s="107">
        <f t="shared" ref="Q4:Q66" si="1">IF(M4="TRUE",1,0)</f>
        <v>0</v>
      </c>
      <c r="R4" s="107">
        <f>R3+Q4</f>
        <v>0</v>
      </c>
      <c r="S4" s="107">
        <f t="shared" ref="S4:S66" si="2">IF(Q4=0,0,R4)</f>
        <v>0</v>
      </c>
      <c r="T4" s="107">
        <f t="shared" ref="T4:T66" si="3">IF(N4=1,1,0)</f>
        <v>0</v>
      </c>
      <c r="U4" s="107">
        <f>U3+T4</f>
        <v>0</v>
      </c>
      <c r="V4" s="107">
        <f t="shared" ref="V4:V66" si="4">IF(T4=0,0,U4)</f>
        <v>0</v>
      </c>
    </row>
    <row r="5" spans="1:22" ht="179.4" x14ac:dyDescent="0.3">
      <c r="A5" s="4" t="str">
        <f>Questions!$A5</f>
        <v>GNRL-03</v>
      </c>
      <c r="B5" s="4" t="str">
        <f t="shared" si="0"/>
        <v>GNRL</v>
      </c>
      <c r="C5" s="4" t="str">
        <f>VLOOKUP($A5,Questions!$A$3:$L$333,2,0)&amp;""</f>
        <v>Solution Description</v>
      </c>
      <c r="D5" s="4" t="str">
        <f>VLOOKUP($A5,Questions!$A$3:$L$333,11,0)&amp;""</f>
        <v>NA</v>
      </c>
      <c r="E5" s="4" t="str">
        <f>VLOOKUP($A5,Questions!$A$3:$L$333,12,0)&amp;""</f>
        <v>Not Scored</v>
      </c>
      <c r="F5" s="4" t="str">
        <f>VLOOKUP($A5,'Institution Evaluation'!$A$56:$K$345,3,0)&amp;""</f>
        <v>Continuous authorship verification and writing analytics using typing biometrics. Native Moodle plugin, browser extension for any LMS, WordPress-based authorship report and verification system.</v>
      </c>
      <c r="G5" s="4" t="str">
        <f>VLOOKUP($A5,'Institution Evaluation'!$A$56:$K$345,7,0)&amp;""</f>
        <v>Not scored</v>
      </c>
      <c r="H5" s="4" t="str">
        <f>VLOOKUP($A5,'Institution Evaluation'!$A$56:$K$345,8,0)&amp;""</f>
        <v/>
      </c>
      <c r="I5" s="4" t="str">
        <f>VLOOKUP($A5,'Institution Evaluation'!$A$56:$K$345,9,0)&amp;""</f>
        <v/>
      </c>
      <c r="J5" s="4" t="str">
        <f>VLOOKUP($A5,'Institution Evaluation'!$A$56:$K$345,10,0)&amp;""</f>
        <v/>
      </c>
      <c r="K5" s="4">
        <f>IF($I5='Auto Responses'!$J$11,20,IF($I5='Auto Responses'!$J$13,5,10))</f>
        <v>10</v>
      </c>
      <c r="L5" s="107" t="str">
        <f>IF($E5='Auto Responses'!$L$13, 'Auto Responses'!$J$5,IF(AND($D5='Auto Responses'!$J$27,$H5=""),'Auto Responses'!$J$5,IF(AND($D5='Auto Responses'!$J$27,$H5='Auto Responses'!$J$7),1,IF(AND($D5='Auto Responses'!$J$27,$H5='Auto Responses'!$J$8),0,IF(OR(AND($F5=$G5,$H5=""),$H5='Auto Responses'!$J$7),1,0)))))</f>
        <v>N/A</v>
      </c>
      <c r="M5" s="4" t="str">
        <f>VLOOKUP($A5,'Institution Evaluation'!$A$56:$K$345,11,0)&amp;""</f>
        <v/>
      </c>
      <c r="N5" s="4">
        <f>IF($J5='Auto Responses'!$J$11,1,IF(AND($J5="",$I5='Auto Responses'!$J$11),1,0))</f>
        <v>0</v>
      </c>
      <c r="O5" s="107" t="str">
        <f>IF($E5='Auto Responses'!$L$13,'Auto Responses'!$J$5,IF($J5="",$K5,IF($J5='Auto Responses'!$J$13,5,IF($J5='Auto Responses'!$J$12,10,IF($J5='Auto Responses'!$J$11,20,0)))))</f>
        <v>N/A</v>
      </c>
      <c r="P5" s="107" t="str">
        <f>IF(OR($O5='Auto Responses'!$J$5,$L5='Auto Responses'!$J$5),'Auto Responses'!$J$5,$O5*$L5)</f>
        <v>N/A</v>
      </c>
      <c r="Q5" s="107">
        <f t="shared" si="1"/>
        <v>0</v>
      </c>
      <c r="R5" s="107">
        <f t="shared" ref="R5:R68" si="5">R4+Q5</f>
        <v>0</v>
      </c>
      <c r="S5" s="107">
        <f t="shared" si="2"/>
        <v>0</v>
      </c>
      <c r="T5" s="107">
        <f t="shared" si="3"/>
        <v>0</v>
      </c>
      <c r="U5" s="107">
        <f t="shared" ref="U5:U68" si="6">U4+T5</f>
        <v>0</v>
      </c>
      <c r="V5" s="107">
        <f t="shared" si="4"/>
        <v>0</v>
      </c>
    </row>
    <row r="6" spans="1:22" ht="55.2" x14ac:dyDescent="0.3">
      <c r="A6" s="4" t="str">
        <f>Questions!$A6</f>
        <v>GNRL-04</v>
      </c>
      <c r="B6" s="4" t="str">
        <f t="shared" si="0"/>
        <v>GNRL</v>
      </c>
      <c r="C6" s="4" t="str">
        <f>VLOOKUP($A6,Questions!$A$3:$L$333,2,0)&amp;""</f>
        <v>Solution Provider Contact Name</v>
      </c>
      <c r="D6" s="4" t="str">
        <f>VLOOKUP($A6,Questions!$A$3:$L$333,11,0)&amp;""</f>
        <v>NA</v>
      </c>
      <c r="E6" s="4" t="str">
        <f>VLOOKUP($A6,Questions!$A$3:$L$333,12,0)&amp;""</f>
        <v>Not Scored</v>
      </c>
      <c r="F6" s="4" t="str">
        <f>VLOOKUP($A6,'Institution Evaluation'!$A$56:$K$345,3,0)&amp;""</f>
        <v>Joseph Thibault</v>
      </c>
      <c r="G6" s="4" t="str">
        <f>VLOOKUP($A6,'Institution Evaluation'!$A$56:$K$345,7,0)&amp;""</f>
        <v>Not scored</v>
      </c>
      <c r="H6" s="4" t="str">
        <f>VLOOKUP($A6,'Institution Evaluation'!$A$56:$K$345,8,0)&amp;""</f>
        <v/>
      </c>
      <c r="I6" s="4" t="str">
        <f>VLOOKUP($A6,'Institution Evaluation'!$A$56:$K$345,9,0)&amp;""</f>
        <v/>
      </c>
      <c r="J6" s="4" t="str">
        <f>VLOOKUP($A6,'Institution Evaluation'!$A$56:$K$345,10,0)&amp;""</f>
        <v/>
      </c>
      <c r="K6" s="4">
        <f>IF($I6='Auto Responses'!$J$11,20,IF($I6='Auto Responses'!$J$13,5,10))</f>
        <v>10</v>
      </c>
      <c r="L6" s="107" t="str">
        <f>IF($E6='Auto Responses'!$L$13, 'Auto Responses'!$J$5,IF(AND($D6='Auto Responses'!$J$27,$H6=""),'Auto Responses'!$J$5,IF(AND($D6='Auto Responses'!$J$27,$H6='Auto Responses'!$J$7),1,IF(AND($D6='Auto Responses'!$J$27,$H6='Auto Responses'!$J$8),0,IF(OR(AND($F6=$G6,$H6=""),$H6='Auto Responses'!$J$7),1,0)))))</f>
        <v>N/A</v>
      </c>
      <c r="M6" s="4" t="str">
        <f>VLOOKUP($A6,'Institution Evaluation'!$A$56:$K$345,11,0)&amp;""</f>
        <v/>
      </c>
      <c r="N6" s="4">
        <f>IF($J6='Auto Responses'!$J$11,1,IF(AND($J6="",$I6='Auto Responses'!$J$11),1,0))</f>
        <v>0</v>
      </c>
      <c r="O6" s="107" t="str">
        <f>IF($E6='Auto Responses'!$L$13,'Auto Responses'!$J$5,IF($J6="",$K6,IF($J6='Auto Responses'!$J$13,5,IF($J6='Auto Responses'!$J$12,10,IF($J6='Auto Responses'!$J$11,20,0)))))</f>
        <v>N/A</v>
      </c>
      <c r="P6" s="107" t="str">
        <f>IF(OR($O6='Auto Responses'!$J$5,$L6='Auto Responses'!$J$5),'Auto Responses'!$J$5,$O6*$L6)</f>
        <v>N/A</v>
      </c>
      <c r="Q6" s="107">
        <f t="shared" si="1"/>
        <v>0</v>
      </c>
      <c r="R6" s="107">
        <f t="shared" si="5"/>
        <v>0</v>
      </c>
      <c r="S6" s="107">
        <f t="shared" si="2"/>
        <v>0</v>
      </c>
      <c r="T6" s="107">
        <f t="shared" si="3"/>
        <v>0</v>
      </c>
      <c r="U6" s="107">
        <f t="shared" si="6"/>
        <v>0</v>
      </c>
      <c r="V6" s="107">
        <f t="shared" si="4"/>
        <v>0</v>
      </c>
    </row>
    <row r="7" spans="1:22" ht="55.2" x14ac:dyDescent="0.3">
      <c r="A7" s="4" t="str">
        <f>Questions!$A7</f>
        <v>GNRL-05</v>
      </c>
      <c r="B7" s="4" t="str">
        <f t="shared" si="0"/>
        <v>GNRL</v>
      </c>
      <c r="C7" s="4" t="str">
        <f>VLOOKUP($A7,Questions!$A$3:$L$333,2,0)&amp;""</f>
        <v>Solution Provider Contact Title</v>
      </c>
      <c r="D7" s="4" t="str">
        <f>VLOOKUP($A7,Questions!$A$3:$L$333,11,0)&amp;""</f>
        <v>NA</v>
      </c>
      <c r="E7" s="4" t="str">
        <f>VLOOKUP($A7,Questions!$A$3:$L$333,12,0)&amp;""</f>
        <v>Not Scored</v>
      </c>
      <c r="F7" s="4" t="str">
        <f>VLOOKUP($A7,'Institution Evaluation'!$A$56:$K$345,3,0)&amp;""</f>
        <v>CEO</v>
      </c>
      <c r="G7" s="4" t="str">
        <f>VLOOKUP($A7,'Institution Evaluation'!$A$56:$K$345,7,0)&amp;""</f>
        <v>Not scored</v>
      </c>
      <c r="H7" s="4" t="str">
        <f>VLOOKUP($A7,'Institution Evaluation'!$A$56:$K$345,8,0)&amp;""</f>
        <v/>
      </c>
      <c r="I7" s="4" t="str">
        <f>VLOOKUP($A7,'Institution Evaluation'!$A$56:$K$345,9,0)&amp;""</f>
        <v/>
      </c>
      <c r="J7" s="4" t="str">
        <f>VLOOKUP($A7,'Institution Evaluation'!$A$56:$K$345,10,0)&amp;""</f>
        <v/>
      </c>
      <c r="K7" s="4">
        <f>IF($I7='Auto Responses'!$J$11,20,IF($I7='Auto Responses'!$J$13,5,10))</f>
        <v>10</v>
      </c>
      <c r="L7" s="107" t="str">
        <f>IF($E7='Auto Responses'!$L$13, 'Auto Responses'!$J$5,IF(AND($D7='Auto Responses'!$J$27,$H7=""),'Auto Responses'!$J$5,IF(AND($D7='Auto Responses'!$J$27,$H7='Auto Responses'!$J$7),1,IF(AND($D7='Auto Responses'!$J$27,$H7='Auto Responses'!$J$8),0,IF(OR(AND($F7=$G7,$H7=""),$H7='Auto Responses'!$J$7),1,0)))))</f>
        <v>N/A</v>
      </c>
      <c r="M7" s="4" t="str">
        <f>VLOOKUP($A7,'Institution Evaluation'!$A$56:$K$345,11,0)&amp;""</f>
        <v/>
      </c>
      <c r="N7" s="4">
        <f>IF($J7='Auto Responses'!$J$11,1,IF(AND($J7="",$I7='Auto Responses'!$J$11),1,0))</f>
        <v>0</v>
      </c>
      <c r="O7" s="107" t="str">
        <f>IF($E7='Auto Responses'!$L$13,'Auto Responses'!$J$5,IF($J7="",$K7,IF($J7='Auto Responses'!$J$13,5,IF($J7='Auto Responses'!$J$12,10,IF($J7='Auto Responses'!$J$11,20,0)))))</f>
        <v>N/A</v>
      </c>
      <c r="P7" s="107" t="str">
        <f>IF(OR($O7='Auto Responses'!$J$5,$L7='Auto Responses'!$J$5),'Auto Responses'!$J$5,$O7*$L7)</f>
        <v>N/A</v>
      </c>
      <c r="Q7" s="107">
        <f t="shared" si="1"/>
        <v>0</v>
      </c>
      <c r="R7" s="107">
        <f t="shared" si="5"/>
        <v>0</v>
      </c>
      <c r="S7" s="107">
        <f t="shared" si="2"/>
        <v>0</v>
      </c>
      <c r="T7" s="107">
        <f t="shared" si="3"/>
        <v>0</v>
      </c>
      <c r="U7" s="107">
        <f t="shared" si="6"/>
        <v>0</v>
      </c>
      <c r="V7" s="107">
        <f t="shared" si="4"/>
        <v>0</v>
      </c>
    </row>
    <row r="8" spans="1:22" ht="55.2" x14ac:dyDescent="0.3">
      <c r="A8" s="4" t="str">
        <f>Questions!$A8</f>
        <v>GNRL-06</v>
      </c>
      <c r="B8" s="4" t="str">
        <f t="shared" si="0"/>
        <v>GNRL</v>
      </c>
      <c r="C8" s="4" t="str">
        <f>VLOOKUP($A8,Questions!$A$3:$L$333,2,0)&amp;""</f>
        <v>Solution Provider Contact Email</v>
      </c>
      <c r="D8" s="4" t="str">
        <f>VLOOKUP($A8,Questions!$A$3:$L$333,11,0)&amp;""</f>
        <v>NA</v>
      </c>
      <c r="E8" s="4" t="str">
        <f>VLOOKUP($A8,Questions!$A$3:$L$333,12,0)&amp;""</f>
        <v>Not Scored</v>
      </c>
      <c r="F8" s="4" t="str">
        <f>VLOOKUP($A8,'Institution Evaluation'!$A$56:$K$345,3,0)&amp;""</f>
        <v>joe@cursivetechnology.com</v>
      </c>
      <c r="G8" s="4" t="str">
        <f>VLOOKUP($A8,'Institution Evaluation'!$A$56:$K$345,7,0)&amp;""</f>
        <v>Not scored</v>
      </c>
      <c r="H8" s="4" t="str">
        <f>VLOOKUP($A8,'Institution Evaluation'!$A$56:$K$345,8,0)&amp;""</f>
        <v/>
      </c>
      <c r="I8" s="4" t="str">
        <f>VLOOKUP($A8,'Institution Evaluation'!$A$56:$K$345,9,0)&amp;""</f>
        <v/>
      </c>
      <c r="J8" s="4" t="str">
        <f>VLOOKUP($A8,'Institution Evaluation'!$A$56:$K$345,10,0)&amp;""</f>
        <v/>
      </c>
      <c r="K8" s="4">
        <f>IF($I8='Auto Responses'!$J$11,20,IF($I8='Auto Responses'!$J$13,5,10))</f>
        <v>10</v>
      </c>
      <c r="L8" s="107" t="str">
        <f>IF($E8='Auto Responses'!$L$13, 'Auto Responses'!$J$5,IF(AND($D8='Auto Responses'!$J$27,$H8=""),'Auto Responses'!$J$5,IF(AND($D8='Auto Responses'!$J$27,$H8='Auto Responses'!$J$7),1,IF(AND($D8='Auto Responses'!$J$27,$H8='Auto Responses'!$J$8),0,IF(OR(AND($F8=$G8,$H8=""),$H8='Auto Responses'!$J$7),1,0)))))</f>
        <v>N/A</v>
      </c>
      <c r="M8" s="4" t="str">
        <f>VLOOKUP($A8,'Institution Evaluation'!$A$56:$K$345,11,0)&amp;""</f>
        <v/>
      </c>
      <c r="N8" s="4">
        <f>IF($J8='Auto Responses'!$J$11,1,IF(AND($J8="",$I8='Auto Responses'!$J$11),1,0))</f>
        <v>0</v>
      </c>
      <c r="O8" s="107" t="str">
        <f>IF($E8='Auto Responses'!$L$13,'Auto Responses'!$J$5,IF($J8="",$K8,IF($J8='Auto Responses'!$J$13,5,IF($J8='Auto Responses'!$J$12,10,IF($J8='Auto Responses'!$J$11,20,0)))))</f>
        <v>N/A</v>
      </c>
      <c r="P8" s="107" t="str">
        <f>IF(OR($O8='Auto Responses'!$J$5,$L8='Auto Responses'!$J$5),'Auto Responses'!$J$5,$O8*$L8)</f>
        <v>N/A</v>
      </c>
      <c r="Q8" s="107">
        <f t="shared" si="1"/>
        <v>0</v>
      </c>
      <c r="R8" s="107">
        <f t="shared" si="5"/>
        <v>0</v>
      </c>
      <c r="S8" s="107">
        <f t="shared" si="2"/>
        <v>0</v>
      </c>
      <c r="T8" s="107">
        <f t="shared" si="3"/>
        <v>0</v>
      </c>
      <c r="U8" s="107">
        <f t="shared" si="6"/>
        <v>0</v>
      </c>
      <c r="V8" s="107">
        <f t="shared" si="4"/>
        <v>0</v>
      </c>
    </row>
    <row r="9" spans="1:22" ht="55.2" x14ac:dyDescent="0.3">
      <c r="A9" s="4" t="str">
        <f>Questions!$A9</f>
        <v>GNRL-07</v>
      </c>
      <c r="B9" s="4" t="str">
        <f t="shared" si="0"/>
        <v>GNRL</v>
      </c>
      <c r="C9" s="4" t="str">
        <f>VLOOKUP($A9,Questions!$A$3:$L$333,2,0)&amp;""</f>
        <v>Solution Provider Contact Phone Number</v>
      </c>
      <c r="D9" s="4" t="str">
        <f>VLOOKUP($A9,Questions!$A$3:$L$333,11,0)&amp;""</f>
        <v>NA</v>
      </c>
      <c r="E9" s="4" t="str">
        <f>VLOOKUP($A9,Questions!$A$3:$L$333,12,0)&amp;""</f>
        <v>Not Scored</v>
      </c>
      <c r="F9" s="4" t="str">
        <f>VLOOKUP($A9,'Institution Evaluation'!$A$56:$K$345,3,0)&amp;""</f>
        <v>410-231-3323</v>
      </c>
      <c r="G9" s="4" t="str">
        <f>VLOOKUP($A9,'Institution Evaluation'!$A$56:$K$345,7,0)&amp;""</f>
        <v>Not scored</v>
      </c>
      <c r="H9" s="4" t="str">
        <f>VLOOKUP($A9,'Institution Evaluation'!$A$56:$K$345,8,0)&amp;""</f>
        <v/>
      </c>
      <c r="I9" s="4" t="str">
        <f>VLOOKUP($A9,'Institution Evaluation'!$A$56:$K$345,9,0)&amp;""</f>
        <v/>
      </c>
      <c r="J9" s="4" t="str">
        <f>VLOOKUP($A9,'Institution Evaluation'!$A$56:$K$345,10,0)&amp;""</f>
        <v/>
      </c>
      <c r="K9" s="4">
        <f>IF($I9='Auto Responses'!$J$11,20,IF($I9='Auto Responses'!$J$13,5,10))</f>
        <v>10</v>
      </c>
      <c r="L9" s="107" t="str">
        <f>IF($E9='Auto Responses'!$L$13, 'Auto Responses'!$J$5,IF(AND($D9='Auto Responses'!$J$27,$H9=""),'Auto Responses'!$J$5,IF(AND($D9='Auto Responses'!$J$27,$H9='Auto Responses'!$J$7),1,IF(AND($D9='Auto Responses'!$J$27,$H9='Auto Responses'!$J$8),0,IF(OR(AND($F9=$G9,$H9=""),$H9='Auto Responses'!$J$7),1,0)))))</f>
        <v>N/A</v>
      </c>
      <c r="M9" s="4" t="str">
        <f>VLOOKUP($A9,'Institution Evaluation'!$A$56:$K$345,11,0)&amp;""</f>
        <v/>
      </c>
      <c r="N9" s="4">
        <f>IF($J9='Auto Responses'!$J$11,1,IF(AND($J9="",$I9='Auto Responses'!$J$11),1,0))</f>
        <v>0</v>
      </c>
      <c r="O9" s="107" t="str">
        <f>IF($E9='Auto Responses'!$L$13,'Auto Responses'!$J$5,IF($J9="",$K9,IF($J9='Auto Responses'!$J$13,5,IF($J9='Auto Responses'!$J$12,10,IF($J9='Auto Responses'!$J$11,20,0)))))</f>
        <v>N/A</v>
      </c>
      <c r="P9" s="107" t="str">
        <f>IF(OR($O9='Auto Responses'!$J$5,$L9='Auto Responses'!$J$5),'Auto Responses'!$J$5,$O9*$L9)</f>
        <v>N/A</v>
      </c>
      <c r="Q9" s="107">
        <f t="shared" si="1"/>
        <v>0</v>
      </c>
      <c r="R9" s="107">
        <f t="shared" si="5"/>
        <v>0</v>
      </c>
      <c r="S9" s="107">
        <f t="shared" si="2"/>
        <v>0</v>
      </c>
      <c r="T9" s="107">
        <f t="shared" si="3"/>
        <v>0</v>
      </c>
      <c r="U9" s="107">
        <f t="shared" si="6"/>
        <v>0</v>
      </c>
      <c r="V9" s="107">
        <f t="shared" si="4"/>
        <v>0</v>
      </c>
    </row>
    <row r="10" spans="1:22" ht="55.2" x14ac:dyDescent="0.3">
      <c r="A10" s="4" t="str">
        <f>Questions!$A10</f>
        <v>GNRL-08</v>
      </c>
      <c r="B10" s="4" t="str">
        <f t="shared" si="0"/>
        <v>GNRL</v>
      </c>
      <c r="C10" s="4" t="str">
        <f>VLOOKUP($A10,Questions!$A$3:$L$333,2,0)&amp;""</f>
        <v>Country of Company Headquarters</v>
      </c>
      <c r="D10" s="4" t="str">
        <f>VLOOKUP($A10,Questions!$A$3:$L$333,11,0)&amp;""</f>
        <v>NA</v>
      </c>
      <c r="E10" s="4" t="str">
        <f>VLOOKUP($A10,Questions!$A$3:$L$333,12,0)&amp;""</f>
        <v>Not Scored</v>
      </c>
      <c r="F10" s="4" t="str">
        <f>VLOOKUP($A10,'Institution Evaluation'!$A$56:$K$345,3,0)&amp;""</f>
        <v>USA</v>
      </c>
      <c r="G10" s="4" t="str">
        <f>VLOOKUP($A10,'Institution Evaluation'!$A$56:$K$345,7,0)&amp;""</f>
        <v>Not scored</v>
      </c>
      <c r="H10" s="4" t="str">
        <f>VLOOKUP($A10,'Institution Evaluation'!$A$56:$K$345,8,0)&amp;""</f>
        <v/>
      </c>
      <c r="I10" s="4" t="str">
        <f>VLOOKUP($A10,'Institution Evaluation'!$A$56:$K$345,9,0)&amp;""</f>
        <v/>
      </c>
      <c r="J10" s="4" t="str">
        <f>VLOOKUP($A10,'Institution Evaluation'!$A$56:$K$345,10,0)&amp;""</f>
        <v/>
      </c>
      <c r="K10" s="4">
        <f>IF($I10='Auto Responses'!$J$11,20,IF($I10='Auto Responses'!$J$13,5,10))</f>
        <v>10</v>
      </c>
      <c r="L10" s="107" t="str">
        <f>IF($E10='Auto Responses'!$L$13, 'Auto Responses'!$J$5,IF(AND($D10='Auto Responses'!$J$27,$H10=""),'Auto Responses'!$J$5,IF(AND($D10='Auto Responses'!$J$27,$H10='Auto Responses'!$J$7),1,IF(AND($D10='Auto Responses'!$J$27,$H10='Auto Responses'!$J$8),0,IF(OR(AND($F10=$G10,$H10=""),$H10='Auto Responses'!$J$7),1,0)))))</f>
        <v>N/A</v>
      </c>
      <c r="M10" s="4" t="str">
        <f>VLOOKUP($A10,'Institution Evaluation'!$A$56:$K$345,11,0)&amp;""</f>
        <v/>
      </c>
      <c r="N10" s="4">
        <f>IF($J10='Auto Responses'!$J$11,1,IF(AND($J10="",$I10='Auto Responses'!$J$11),1,0))</f>
        <v>0</v>
      </c>
      <c r="O10" s="107" t="str">
        <f>IF($E10='Auto Responses'!$L$13,'Auto Responses'!$J$5,IF($J10="",$K10,IF($J10='Auto Responses'!$J$13,5,IF($J10='Auto Responses'!$J$12,10,IF($J10='Auto Responses'!$J$11,20,0)))))</f>
        <v>N/A</v>
      </c>
      <c r="P10" s="107" t="str">
        <f>IF(OR($O10='Auto Responses'!$J$5,$L10='Auto Responses'!$J$5),'Auto Responses'!$J$5,$O10*$L10)</f>
        <v>N/A</v>
      </c>
      <c r="Q10" s="107">
        <f t="shared" si="1"/>
        <v>0</v>
      </c>
      <c r="R10" s="107">
        <f t="shared" si="5"/>
        <v>0</v>
      </c>
      <c r="S10" s="107">
        <f t="shared" si="2"/>
        <v>0</v>
      </c>
      <c r="T10" s="107">
        <f t="shared" si="3"/>
        <v>0</v>
      </c>
      <c r="U10" s="107">
        <f t="shared" si="6"/>
        <v>0</v>
      </c>
      <c r="V10" s="107">
        <f t="shared" si="4"/>
        <v>0</v>
      </c>
    </row>
    <row r="11" spans="1:22" ht="55.2" x14ac:dyDescent="0.3">
      <c r="A11" s="4" t="str">
        <f>Questions!$A11</f>
        <v>GNRL-09</v>
      </c>
      <c r="B11" s="4" t="str">
        <f t="shared" si="0"/>
        <v>GNRL</v>
      </c>
      <c r="C11" s="4" t="str">
        <f>VLOOKUP($A11,Questions!$A$3:$L$333,2,0)&amp;""</f>
        <v>Employee Work Locations (all)</v>
      </c>
      <c r="D11" s="4" t="s">
        <v>22</v>
      </c>
      <c r="E11" s="4" t="str">
        <f>VLOOKUP($A11,Questions!$A$3:$L$333,12,0)&amp;""</f>
        <v>Not Scored</v>
      </c>
      <c r="F11" s="4" t="str">
        <f>VLOOKUP($A11,'Institution Evaluation'!$A$56:$K$345,3,0)&amp;""</f>
        <v>Baltimore MD</v>
      </c>
      <c r="G11" s="4" t="str">
        <f>VLOOKUP($A11,'Institution Evaluation'!$A$56:$K$345,7,0)&amp;""</f>
        <v>Not scored</v>
      </c>
      <c r="H11" s="4" t="str">
        <f>VLOOKUP($A11,'Institution Evaluation'!$A$56:$K$345,8,0)&amp;""</f>
        <v/>
      </c>
      <c r="I11" s="4" t="str">
        <f>VLOOKUP($A11,'Institution Evaluation'!$A$56:$K$345,9,0)&amp;""</f>
        <v/>
      </c>
      <c r="J11" s="4" t="str">
        <f>VLOOKUP($A11,'Institution Evaluation'!$A$56:$K$345,10,0)&amp;""</f>
        <v/>
      </c>
      <c r="K11" s="4">
        <f>IF($I11='Auto Responses'!$J$11,20,IF($I11='Auto Responses'!$J$13,5,10))</f>
        <v>10</v>
      </c>
      <c r="L11" s="107" t="str">
        <f>IF($E11='Auto Responses'!$L$13, 'Auto Responses'!$J$5,IF(AND($D11='Auto Responses'!$J$27,$H11=""),'Auto Responses'!$J$5,IF(AND($D11='Auto Responses'!$J$27,$H11='Auto Responses'!$J$7),1,IF(AND($D11='Auto Responses'!$J$27,$H11='Auto Responses'!$J$8),0,IF(OR(AND($F11=$G11,$H11=""),$H11='Auto Responses'!$J$7),1,0)))))</f>
        <v>N/A</v>
      </c>
      <c r="M11" s="4" t="str">
        <f>VLOOKUP($A11,'Institution Evaluation'!$A$56:$K$345,11,0)&amp;""</f>
        <v/>
      </c>
      <c r="N11" s="4">
        <f>IF($J11='Auto Responses'!$J$11,1,IF(AND($J11="",$I11='Auto Responses'!$J$11),1,0))</f>
        <v>0</v>
      </c>
      <c r="O11" s="107" t="str">
        <f>IF($E11='Auto Responses'!$L$13,'Auto Responses'!$J$5,IF($J11="",$K11,IF($J11='Auto Responses'!$J$13,5,IF($J11='Auto Responses'!$J$12,10,IF($J11='Auto Responses'!$J$11,20,0)))))</f>
        <v>N/A</v>
      </c>
      <c r="P11" s="107" t="str">
        <f>IF(OR($O11='Auto Responses'!$J$5,$L11='Auto Responses'!$J$5),'Auto Responses'!$J$5,$O11*$L11)</f>
        <v>N/A</v>
      </c>
      <c r="Q11" s="107">
        <f t="shared" si="1"/>
        <v>0</v>
      </c>
      <c r="R11" s="107">
        <f t="shared" si="5"/>
        <v>0</v>
      </c>
      <c r="S11" s="107">
        <f t="shared" si="2"/>
        <v>0</v>
      </c>
      <c r="T11" s="107">
        <f t="shared" si="3"/>
        <v>0</v>
      </c>
      <c r="U11" s="107">
        <f t="shared" si="6"/>
        <v>0</v>
      </c>
      <c r="V11" s="107">
        <f t="shared" si="4"/>
        <v>0</v>
      </c>
    </row>
    <row r="12" spans="1:22" ht="55.2" x14ac:dyDescent="0.3">
      <c r="A12" s="4" t="str">
        <f>Questions!$A12</f>
        <v>COMP-01</v>
      </c>
      <c r="B12" s="4" t="str">
        <f t="shared" si="0"/>
        <v>COMP</v>
      </c>
      <c r="C12" s="4" t="str">
        <f>VLOOKUP($A12,Questions!$A$3:$L$333,2,0)&amp;""</f>
        <v>Do you have a dedicated software and system development team(s) (e.g., customer support, implementation, product management, etc.)?*</v>
      </c>
      <c r="D12" s="4" t="str">
        <f>VLOOKUP($A12,Questions!$A$3:$L$333,11,0)&amp;""</f>
        <v/>
      </c>
      <c r="E12" s="4" t="str">
        <f>VLOOKUP($A12,Questions!$A$3:$L$333,12,0)&amp;""</f>
        <v>Start Here</v>
      </c>
      <c r="F12" s="4" t="str">
        <f>VLOOKUP($A12,'Institution Evaluation'!$A$56:$K$345,3,0)&amp;""</f>
        <v>Yes</v>
      </c>
      <c r="G12" s="4" t="str">
        <f>VLOOKUP($A12,'Institution Evaluation'!$A$56:$K$345,7,0)&amp;""</f>
        <v>Yes</v>
      </c>
      <c r="H12" s="4" t="str">
        <f>VLOOKUP($A12,'Institution Evaluation'!$A$56:$K$345,8,0)&amp;""</f>
        <v/>
      </c>
      <c r="I12" s="4" t="str">
        <f>VLOOKUP($A12,'Institution Evaluation'!$A$56:$K$345,9,0)&amp;""</f>
        <v>Standard Importance</v>
      </c>
      <c r="J12" s="4" t="str">
        <f>VLOOKUP($A12,'Institution Evaluation'!$A$56:$K$345,10,0)&amp;""</f>
        <v/>
      </c>
      <c r="K12" s="4">
        <f>IF($I12='Auto Responses'!$J$11,20,IF($I12='Auto Responses'!$J$13,5,10))</f>
        <v>10</v>
      </c>
      <c r="L12" s="107">
        <f>IF($E12='Auto Responses'!$L$13, 'Auto Responses'!$J$5,IF(AND($D12='Auto Responses'!$J$27,$H12=""),'Auto Responses'!$J$5,IF(AND($D12='Auto Responses'!$J$27,$H12='Auto Responses'!$J$7),1,IF(AND($D12='Auto Responses'!$J$27,$H12='Auto Responses'!$J$8),0,IF(OR(AND($F12=$G12,$H12=""),$H12='Auto Responses'!$J$7),1,0)))))</f>
        <v>1</v>
      </c>
      <c r="M12" s="4" t="str">
        <f>VLOOKUP($A12,'Institution Evaluation'!$A$56:$K$345,11,0)&amp;""</f>
        <v>FALSE</v>
      </c>
      <c r="N12" s="4">
        <f>IF($J12='Auto Responses'!$J$11,1,IF(AND($J12="",$I12='Auto Responses'!$J$11),1,0))</f>
        <v>0</v>
      </c>
      <c r="O12" s="107">
        <f>IF(OR($E12='Auto Responses'!$L$13,$F12='Auto Responses'!$J$5),'Auto Responses'!$J$5,IF($J12="",$K12,IF($J12='Auto Responses'!$J$13,5,IF($J12='Auto Responses'!$J$12,10,IF($J12='Auto Responses'!$J$11,20,0)))))</f>
        <v>10</v>
      </c>
      <c r="P12" s="107">
        <f>IF(OR($O12='Auto Responses'!$J$5,$L12='Auto Responses'!$J$5),'Auto Responses'!$J$5,$O12*$L12)</f>
        <v>10</v>
      </c>
      <c r="Q12" s="107">
        <f t="shared" si="1"/>
        <v>0</v>
      </c>
      <c r="R12" s="107">
        <f t="shared" si="5"/>
        <v>0</v>
      </c>
      <c r="S12" s="107">
        <f t="shared" si="2"/>
        <v>0</v>
      </c>
      <c r="T12" s="107">
        <f t="shared" si="3"/>
        <v>0</v>
      </c>
      <c r="U12" s="107">
        <f t="shared" si="6"/>
        <v>0</v>
      </c>
      <c r="V12" s="107">
        <f t="shared" si="4"/>
        <v>0</v>
      </c>
    </row>
    <row r="13" spans="1:22" ht="248.4" x14ac:dyDescent="0.3">
      <c r="A13" s="4" t="str">
        <f>Questions!$A13</f>
        <v>COMP-02</v>
      </c>
      <c r="B13" s="4" t="str">
        <f t="shared" si="0"/>
        <v>COMP</v>
      </c>
      <c r="C13" s="4" t="str">
        <f>VLOOKUP($A13,Questions!$A$3:$L$333,2,0)&amp;""</f>
        <v>Describe your organization’s business background and ownership structure, including all parent and subsidiary relationships.</v>
      </c>
      <c r="D13" s="4" t="str">
        <f>VLOOKUP($A13,Questions!$A$3:$L$333,11,0)&amp;""</f>
        <v/>
      </c>
      <c r="E13" s="4" t="str">
        <f>VLOOKUP($A13,Questions!$A$3:$L$333,12,0)&amp;""</f>
        <v>Not scored</v>
      </c>
      <c r="F13" s="4" t="str">
        <f>VLOOKUP($A13,'Institution Evaluation'!$A$56:$K$345,3,0)&amp;""</f>
        <v xml:space="preserve">We are a Maryland based corporation with a convertible note from Conscoius Venture Fund II. Our team is one full time employee, one unpaid CEO/Founder, one part time growth role, and three outsourced development partners (Brain-Station 23, AWS Contractor, Tech Worm LLC) </v>
      </c>
      <c r="G13" s="4" t="str">
        <f>VLOOKUP($A13,'Institution Evaluation'!$A$56:$K$345,7,0)&amp;""</f>
        <v>Not scored</v>
      </c>
      <c r="H13" s="4" t="str">
        <f>VLOOKUP($A13,'Institution Evaluation'!$A$56:$K$345,8,0)&amp;""</f>
        <v/>
      </c>
      <c r="I13" s="4" t="str">
        <f>VLOOKUP($A13,'Institution Evaluation'!$A$56:$K$345,9,0)&amp;""</f>
        <v/>
      </c>
      <c r="J13" s="4" t="str">
        <f>VLOOKUP($A13,'Institution Evaluation'!$A$56:$K$345,10,0)&amp;""</f>
        <v/>
      </c>
      <c r="K13" s="4">
        <f>IF($I13='Auto Responses'!$J$11,20,IF($I13='Auto Responses'!$J$13,5,10))</f>
        <v>10</v>
      </c>
      <c r="L13" s="107" t="str">
        <f>IF($E13='Auto Responses'!$L$13, 'Auto Responses'!$J$5,IF(AND($D13='Auto Responses'!$J$27,$H13=""),'Auto Responses'!$J$5,IF(AND($D13='Auto Responses'!$J$27,$H13='Auto Responses'!$J$7),1,IF(AND($D13='Auto Responses'!$J$27,$H13='Auto Responses'!$J$8),0,IF(OR(AND($F13=$G13,$H13=""),$H13='Auto Responses'!$J$7),1,0)))))</f>
        <v>N/A</v>
      </c>
      <c r="M13" s="4" t="str">
        <f>VLOOKUP($A13,'Institution Evaluation'!$A$56:$K$345,11,0)&amp;""</f>
        <v>FALSE</v>
      </c>
      <c r="N13" s="4">
        <f>IF($J13='Auto Responses'!$J$11,1,IF(AND($J13="",$I13='Auto Responses'!$J$11),1,0))</f>
        <v>0</v>
      </c>
      <c r="O13" s="107" t="str">
        <f>IF(OR($E13='Auto Responses'!$L$13,$F13='Auto Responses'!$J$5),'Auto Responses'!$J$5,IF($J13="",$K13,IF($J13='Auto Responses'!$J$13,5,IF($J13='Auto Responses'!$J$12,10,IF($J13='Auto Responses'!$J$11,20,0)))))</f>
        <v>N/A</v>
      </c>
      <c r="P13" s="107" t="str">
        <f>IF(OR($O13='Auto Responses'!$J$5,$L13='Auto Responses'!$J$5),'Auto Responses'!$J$5,$O13*$L13)</f>
        <v>N/A</v>
      </c>
      <c r="Q13" s="107">
        <f t="shared" si="1"/>
        <v>0</v>
      </c>
      <c r="R13" s="107">
        <f t="shared" si="5"/>
        <v>0</v>
      </c>
      <c r="S13" s="107">
        <f t="shared" si="2"/>
        <v>0</v>
      </c>
      <c r="T13" s="107">
        <f t="shared" si="3"/>
        <v>0</v>
      </c>
      <c r="U13" s="107">
        <f t="shared" si="6"/>
        <v>0</v>
      </c>
      <c r="V13" s="107">
        <f t="shared" si="4"/>
        <v>0</v>
      </c>
    </row>
    <row r="14" spans="1:22" ht="55.2" x14ac:dyDescent="0.3">
      <c r="A14" s="4" t="str">
        <f>Questions!$A14</f>
        <v>COMP-03</v>
      </c>
      <c r="B14" s="4" t="str">
        <f t="shared" si="0"/>
        <v>COMP</v>
      </c>
      <c r="C14" s="4" t="str">
        <f>VLOOKUP($A14,Questions!$A$3:$L$333,2,0)&amp;""</f>
        <v>Have you operated without unplanned disruptions to this solution in the past 12 months?</v>
      </c>
      <c r="D14" s="4" t="str">
        <f>VLOOKUP($A14,Questions!$A$3:$L$333,11,0)&amp;""</f>
        <v/>
      </c>
      <c r="E14" s="4" t="str">
        <f>VLOOKUP($A14,Questions!$A$3:$L$333,12,0)&amp;""</f>
        <v>Start Here</v>
      </c>
      <c r="F14" s="4" t="str">
        <f>VLOOKUP($A14,'Institution Evaluation'!$A$56:$K$345,3,0)&amp;""</f>
        <v>No</v>
      </c>
      <c r="G14" s="4" t="str">
        <f>VLOOKUP($A14,'Institution Evaluation'!$A$56:$K$345,7,0)&amp;""</f>
        <v>Yes</v>
      </c>
      <c r="H14" s="4" t="str">
        <f>VLOOKUP($A14,'Institution Evaluation'!$A$56:$K$345,8,0)&amp;""</f>
        <v/>
      </c>
      <c r="I14" s="4" t="str">
        <f>VLOOKUP($A14,'Institution Evaluation'!$A$56:$K$345,9,0)&amp;""</f>
        <v>Minor Importance</v>
      </c>
      <c r="J14" s="4" t="str">
        <f>VLOOKUP($A14,'Institution Evaluation'!$A$56:$K$345,10,0)&amp;""</f>
        <v/>
      </c>
      <c r="K14" s="4">
        <f>IF($I14='Auto Responses'!$J$11,20,IF($I14='Auto Responses'!$J$13,5,10))</f>
        <v>5</v>
      </c>
      <c r="L14" s="107">
        <f>IF($E14='Auto Responses'!$L$13, 'Auto Responses'!$J$5,IF(AND($D14='Auto Responses'!$J$27,$H14=""),'Auto Responses'!$J$5,IF(AND($D14='Auto Responses'!$J$27,$H14='Auto Responses'!$J$7),1,IF(AND($D14='Auto Responses'!$J$27,$H14='Auto Responses'!$J$8),0,IF(OR(AND($F14=$G14,$H14=""),$H14='Auto Responses'!$J$7),1,0)))))</f>
        <v>0</v>
      </c>
      <c r="M14" s="4" t="str">
        <f>VLOOKUP($A14,'Institution Evaluation'!$A$56:$K$345,11,0)&amp;""</f>
        <v>FALSE</v>
      </c>
      <c r="N14" s="4">
        <f>IF($J14='Auto Responses'!$J$11,1,IF(AND($J14="",$I14='Auto Responses'!$J$11),1,0))</f>
        <v>0</v>
      </c>
      <c r="O14" s="107">
        <f>IF(OR($E14='Auto Responses'!$L$13,$F14='Auto Responses'!$J$5),'Auto Responses'!$J$5,IF($J14="",$K14,IF($J14='Auto Responses'!$J$13,5,IF($J14='Auto Responses'!$J$12,10,IF($J14='Auto Responses'!$J$11,20,0)))))</f>
        <v>5</v>
      </c>
      <c r="P14" s="107">
        <f>IF(OR($O14='Auto Responses'!$J$5,$L14='Auto Responses'!$J$5),'Auto Responses'!$J$5,$O14*$L14)</f>
        <v>0</v>
      </c>
      <c r="Q14" s="107">
        <f t="shared" si="1"/>
        <v>0</v>
      </c>
      <c r="R14" s="107">
        <f t="shared" si="5"/>
        <v>0</v>
      </c>
      <c r="S14" s="107">
        <f t="shared" si="2"/>
        <v>0</v>
      </c>
      <c r="T14" s="107">
        <f t="shared" si="3"/>
        <v>0</v>
      </c>
      <c r="U14" s="107">
        <f t="shared" si="6"/>
        <v>0</v>
      </c>
      <c r="V14" s="107">
        <f t="shared" si="4"/>
        <v>0</v>
      </c>
    </row>
    <row r="15" spans="1:22" ht="55.2" x14ac:dyDescent="0.3">
      <c r="A15" s="4" t="str">
        <f>Questions!$A15</f>
        <v>COMP-04</v>
      </c>
      <c r="B15" s="4" t="str">
        <f t="shared" si="0"/>
        <v>COMP</v>
      </c>
      <c r="C15" s="4" t="str">
        <f>VLOOKUP($A15,Questions!$A$3:$L$333,2,0)&amp;""</f>
        <v>Do you have a dedicated information security staff or office?</v>
      </c>
      <c r="D15" s="4" t="str">
        <f>VLOOKUP($A15,Questions!$A$3:$L$333,11,0)&amp;""</f>
        <v/>
      </c>
      <c r="E15" s="4" t="str">
        <f>VLOOKUP($A15,Questions!$A$3:$L$333,12,0)&amp;""</f>
        <v>Start Here</v>
      </c>
      <c r="F15" s="4" t="str">
        <f>VLOOKUP($A15,'Institution Evaluation'!$A$56:$K$345,3,0)&amp;""</f>
        <v>Yes</v>
      </c>
      <c r="G15" s="4" t="str">
        <f>VLOOKUP($A15,'Institution Evaluation'!$A$56:$K$345,7,0)&amp;""</f>
        <v>Yes</v>
      </c>
      <c r="H15" s="4" t="str">
        <f>VLOOKUP($A15,'Institution Evaluation'!$A$56:$K$345,8,0)&amp;""</f>
        <v/>
      </c>
      <c r="I15" s="4" t="str">
        <f>VLOOKUP($A15,'Institution Evaluation'!$A$56:$K$345,9,0)&amp;""</f>
        <v>Minor Importance</v>
      </c>
      <c r="J15" s="4" t="str">
        <f>VLOOKUP($A15,'Institution Evaluation'!$A$56:$K$345,10,0)&amp;""</f>
        <v/>
      </c>
      <c r="K15" s="4">
        <f>IF($I15='Auto Responses'!$J$11,20,IF($I15='Auto Responses'!$J$13,5,10))</f>
        <v>5</v>
      </c>
      <c r="L15" s="107">
        <f>IF($E15='Auto Responses'!$L$13, 'Auto Responses'!$J$5,IF(AND($D15='Auto Responses'!$J$27,$H15=""),'Auto Responses'!$J$5,IF(AND($D15='Auto Responses'!$J$27,$H15='Auto Responses'!$J$7),1,IF(AND($D15='Auto Responses'!$J$27,$H15='Auto Responses'!$J$8),0,IF(OR(AND($F15=$G15,$H15=""),$H15='Auto Responses'!$J$7),1,0)))))</f>
        <v>1</v>
      </c>
      <c r="M15" s="4" t="str">
        <f>VLOOKUP($A15,'Institution Evaluation'!$A$56:$K$345,11,0)&amp;""</f>
        <v>FALSE</v>
      </c>
      <c r="N15" s="4">
        <f>IF($J15='Auto Responses'!$J$11,1,IF(AND($J15="",$I15='Auto Responses'!$J$11),1,0))</f>
        <v>0</v>
      </c>
      <c r="O15" s="107">
        <f>IF(OR($E15='Auto Responses'!$L$13,$F15='Auto Responses'!$J$5),'Auto Responses'!$J$5,IF($J15="",$K15,IF($J15='Auto Responses'!$J$13,5,IF($J15='Auto Responses'!$J$12,10,IF($J15='Auto Responses'!$J$11,20,0)))))</f>
        <v>5</v>
      </c>
      <c r="P15" s="107">
        <f>IF(OR($O15='Auto Responses'!$J$5,$L15='Auto Responses'!$J$5),'Auto Responses'!$J$5,$O15*$L15)</f>
        <v>5</v>
      </c>
      <c r="Q15" s="107">
        <f t="shared" si="1"/>
        <v>0</v>
      </c>
      <c r="R15" s="107">
        <f t="shared" si="5"/>
        <v>0</v>
      </c>
      <c r="S15" s="107">
        <f t="shared" si="2"/>
        <v>0</v>
      </c>
      <c r="T15" s="107">
        <f t="shared" si="3"/>
        <v>0</v>
      </c>
      <c r="U15" s="107">
        <f t="shared" si="6"/>
        <v>0</v>
      </c>
      <c r="V15" s="107">
        <f t="shared" si="4"/>
        <v>0</v>
      </c>
    </row>
    <row r="16" spans="1:22" ht="409.6" x14ac:dyDescent="0.3">
      <c r="A16" s="4" t="str">
        <f>Questions!$A16</f>
        <v>COMP-05</v>
      </c>
      <c r="B16" s="4" t="str">
        <f t="shared" si="0"/>
        <v>COMP</v>
      </c>
      <c r="C16" s="4" t="str">
        <f>VLOOKUP($A16,Questions!$A$3:$L$333,2,0)&amp;""</f>
        <v>Use this area to share information about your environment that will assist those who are assessing your company's data security program.</v>
      </c>
      <c r="D16" s="4" t="str">
        <f>VLOOKUP($A16,Questions!$A$3:$L$333,11,0)&amp;""</f>
        <v/>
      </c>
      <c r="E16" s="4" t="str">
        <f>VLOOKUP($A16,Questions!$A$3:$L$333,12,0)&amp;""</f>
        <v>Not Scored</v>
      </c>
      <c r="F16" s="4" t="str">
        <f>VLOOKUP($A16,'Institution Evaluation'!$A$56:$K$345,3,0)&amp;""</f>
        <v xml:space="preserve">We build security and privacy into our product by design. Our secure environment is wholly hosted in AWS using best practice software and cloud architecture. We do not collect personal identifiable information such as email, name, address, etc. Any data collected for processing is stored locally, if applicable, shared with us a transient data which is deleted after processing, we retain only processed authorship payload, not raw logs. Data is de-identified by default. </v>
      </c>
      <c r="G16" s="4" t="str">
        <f>VLOOKUP($A16,'Institution Evaluation'!$A$56:$K$345,7,0)&amp;""</f>
        <v>Not scored</v>
      </c>
      <c r="H16" s="4" t="str">
        <f>VLOOKUP($A16,'Institution Evaluation'!$A$56:$K$345,8,0)&amp;""</f>
        <v/>
      </c>
      <c r="I16" s="4" t="str">
        <f>VLOOKUP($A16,'Institution Evaluation'!$A$56:$K$345,9,0)&amp;""</f>
        <v>FALSE</v>
      </c>
      <c r="J16" s="4" t="str">
        <f>VLOOKUP($A16,'Institution Evaluation'!$A$56:$K$345,10,0)&amp;""</f>
        <v/>
      </c>
      <c r="K16" s="4">
        <f>IF($I16='Auto Responses'!$J$11,20,IF($I16='Auto Responses'!$J$13,5,10))</f>
        <v>10</v>
      </c>
      <c r="L16" s="107" t="str">
        <f>IF($E16='Auto Responses'!$L$13, 'Auto Responses'!$J$5,IF(AND($D16='Auto Responses'!$J$27,$H16=""),'Auto Responses'!$J$5,IF(AND($D16='Auto Responses'!$J$27,$H16='Auto Responses'!$J$7),1,IF(AND($D16='Auto Responses'!$J$27,$H16='Auto Responses'!$J$8),0,IF(OR(AND($F16=$G16,$H16=""),$H16='Auto Responses'!$J$7),1,0)))))</f>
        <v>N/A</v>
      </c>
      <c r="M16" s="4" t="str">
        <f>VLOOKUP($A16,'Institution Evaluation'!$A$56:$K$345,11,0)&amp;""</f>
        <v>FALSE</v>
      </c>
      <c r="N16" s="4">
        <f>IF($J16='Auto Responses'!$J$11,1,IF(AND($J16="",$I16='Auto Responses'!$J$11),1,0))</f>
        <v>0</v>
      </c>
      <c r="O16" s="107" t="str">
        <f>IF(OR($E16='Auto Responses'!$L$13,$F16='Auto Responses'!$J$5),'Auto Responses'!$J$5,IF($J16="",$K16,IF($J16='Auto Responses'!$J$13,5,IF($J16='Auto Responses'!$J$12,10,IF($J16='Auto Responses'!$J$11,20,0)))))</f>
        <v>N/A</v>
      </c>
      <c r="P16" s="107" t="str">
        <f>IF(OR($O16='Auto Responses'!$J$5,$L16='Auto Responses'!$J$5),'Auto Responses'!$J$5,$O16*$L16)</f>
        <v>N/A</v>
      </c>
      <c r="Q16" s="107">
        <f t="shared" si="1"/>
        <v>0</v>
      </c>
      <c r="R16" s="107">
        <f t="shared" si="5"/>
        <v>0</v>
      </c>
      <c r="S16" s="107">
        <f t="shared" si="2"/>
        <v>0</v>
      </c>
      <c r="T16" s="107">
        <f t="shared" si="3"/>
        <v>0</v>
      </c>
      <c r="U16" s="107">
        <f t="shared" si="6"/>
        <v>0</v>
      </c>
      <c r="V16" s="107">
        <f t="shared" si="4"/>
        <v>0</v>
      </c>
    </row>
    <row r="17" spans="1:22" ht="55.2" x14ac:dyDescent="0.3">
      <c r="A17" s="4" t="str">
        <f>Questions!$A17</f>
        <v>REQU-01</v>
      </c>
      <c r="B17" s="4" t="str">
        <f t="shared" si="0"/>
        <v>REQU</v>
      </c>
      <c r="C17" s="4" t="str">
        <f>VLOOKUP($A17,Questions!$A$3:$L$333,2,0)&amp;""</f>
        <v>Are you offering a cloud-based product?</v>
      </c>
      <c r="D17" s="4" t="str">
        <f>VLOOKUP($A17,Questions!$A$3:$L$333,11,0)&amp;""</f>
        <v>NA</v>
      </c>
      <c r="E17" s="4" t="str">
        <f>VLOOKUP($A17,Questions!$A$3:$L$333,12,0)&amp;""</f>
        <v>Not Scored</v>
      </c>
      <c r="F17" s="4" t="str">
        <f>VLOOKUP($A17,'Institution Evaluation'!$A$56:$K$345,3,0)&amp;""</f>
        <v>Yes</v>
      </c>
      <c r="G17" s="4" t="str">
        <f>VLOOKUP($A17,'Institution Evaluation'!$A$56:$K$345,7,0)&amp;""</f>
        <v>Not scored</v>
      </c>
      <c r="H17" s="4" t="str">
        <f>VLOOKUP($A17,'Institution Evaluation'!$A$56:$K$345,8,0)&amp;""</f>
        <v/>
      </c>
      <c r="I17" s="4" t="str">
        <f>VLOOKUP($A17,'Institution Evaluation'!$A$56:$K$345,9,0)&amp;""</f>
        <v/>
      </c>
      <c r="J17" s="4" t="str">
        <f>VLOOKUP($A17,'Institution Evaluation'!$A$56:$K$345,10,0)&amp;""</f>
        <v/>
      </c>
      <c r="K17" s="4">
        <f>IF($I17='Auto Responses'!$J$11,20,IF($I17='Auto Responses'!$J$13,5,10))</f>
        <v>10</v>
      </c>
      <c r="L17" s="107" t="str">
        <f>IF($E17='Auto Responses'!$L$13, 'Auto Responses'!$J$5,IF(AND($D17='Auto Responses'!$J$27,$H17=""),'Auto Responses'!$J$5,IF(AND($D17='Auto Responses'!$J$27,$H17='Auto Responses'!$J$7),1,IF(AND($D17='Auto Responses'!$J$27,$H17='Auto Responses'!$J$8),0,IF(OR(AND($F17=$G17,$H17=""),$H17='Auto Responses'!$J$7),1,0)))))</f>
        <v>N/A</v>
      </c>
      <c r="M17" s="4" t="str">
        <f>VLOOKUP($A17,'Institution Evaluation'!$A$56:$K$345,11,0)&amp;""</f>
        <v>FALSE</v>
      </c>
      <c r="N17" s="4">
        <f>IF($J17='Auto Responses'!$J$11,1,IF(AND($J17="",$I17='Auto Responses'!$J$11),1,0))</f>
        <v>0</v>
      </c>
      <c r="O17" s="107" t="str">
        <f>IF($E17='Auto Responses'!$L$13,'Auto Responses'!$J$5,IF($J17="",$K17,IF($J17='Auto Responses'!$J$13,5,IF($J17='Auto Responses'!$J$12,10,IF($J17='Auto Responses'!$J$11,20,0)))))</f>
        <v>N/A</v>
      </c>
      <c r="P17" s="107" t="str">
        <f>IF(OR($O17='Auto Responses'!$J$5,$L17='Auto Responses'!$J$5),'Auto Responses'!$J$5,$O17*$L17)</f>
        <v>N/A</v>
      </c>
      <c r="Q17" s="107">
        <f t="shared" si="1"/>
        <v>0</v>
      </c>
      <c r="R17" s="107">
        <f t="shared" si="5"/>
        <v>0</v>
      </c>
      <c r="S17" s="107">
        <f t="shared" si="2"/>
        <v>0</v>
      </c>
      <c r="T17" s="107">
        <f t="shared" si="3"/>
        <v>0</v>
      </c>
      <c r="U17" s="107">
        <f t="shared" si="6"/>
        <v>0</v>
      </c>
      <c r="V17" s="107">
        <f t="shared" si="4"/>
        <v>0</v>
      </c>
    </row>
    <row r="18" spans="1:22" ht="55.2" x14ac:dyDescent="0.3">
      <c r="A18" s="4" t="str">
        <f>Questions!$A18</f>
        <v>REQU-02</v>
      </c>
      <c r="B18" s="4" t="str">
        <f t="shared" si="0"/>
        <v>REQU</v>
      </c>
      <c r="C18" s="4" t="str">
        <f>VLOOKUP($A18,Questions!$A$3:$L$333,2,0)&amp;""</f>
        <v>Does your product or service have an interface?</v>
      </c>
      <c r="D18" s="4" t="str">
        <f>VLOOKUP($A18,Questions!$A$3:$L$333,11,0)&amp;""</f>
        <v>NA</v>
      </c>
      <c r="E18" s="4" t="str">
        <f>VLOOKUP($A18,Questions!$A$3:$L$333,12,0)&amp;""</f>
        <v>Not Scored</v>
      </c>
      <c r="F18" s="4" t="str">
        <f>VLOOKUP($A18,'Institution Evaluation'!$A$56:$K$345,3,0)&amp;""</f>
        <v>Yes</v>
      </c>
      <c r="G18" s="4" t="str">
        <f>VLOOKUP($A18,'Institution Evaluation'!$A$56:$K$345,7,0)&amp;""</f>
        <v>Not scored</v>
      </c>
      <c r="H18" s="4" t="str">
        <f>VLOOKUP($A18,'Institution Evaluation'!$A$56:$K$345,8,0)&amp;""</f>
        <v/>
      </c>
      <c r="I18" s="4" t="str">
        <f>VLOOKUP($A18,'Institution Evaluation'!$A$56:$K$345,9,0)&amp;""</f>
        <v/>
      </c>
      <c r="J18" s="4" t="str">
        <f>VLOOKUP($A18,'Institution Evaluation'!$A$56:$K$345,10,0)&amp;""</f>
        <v/>
      </c>
      <c r="K18" s="4">
        <f>IF($I18='Auto Responses'!$J$11,20,IF($I18='Auto Responses'!$J$13,5,10))</f>
        <v>10</v>
      </c>
      <c r="L18" s="107" t="str">
        <f>IF($E18='Auto Responses'!$L$13, 'Auto Responses'!$J$5,IF(AND($D18='Auto Responses'!$J$27,$H18=""),'Auto Responses'!$J$5,IF(AND($D18='Auto Responses'!$J$27,$H18='Auto Responses'!$J$7),1,IF(AND($D18='Auto Responses'!$J$27,$H18='Auto Responses'!$J$8),0,IF(OR(AND($F18=$G18,$H18=""),$H18='Auto Responses'!$J$7),1,0)))))</f>
        <v>N/A</v>
      </c>
      <c r="M18" s="4" t="str">
        <f>VLOOKUP($A18,'Institution Evaluation'!$A$56:$K$345,11,0)&amp;""</f>
        <v>FALSE</v>
      </c>
      <c r="N18" s="4">
        <f>IF($J18='Auto Responses'!$J$11,1,IF(AND($J18="",$I18='Auto Responses'!$J$11),1,0))</f>
        <v>0</v>
      </c>
      <c r="O18" s="107" t="str">
        <f>IF($E18='Auto Responses'!$L$13,'Auto Responses'!$J$5,IF($J18="",$K18,IF($J18='Auto Responses'!$J$13,5,IF($J18='Auto Responses'!$J$12,10,IF($J18='Auto Responses'!$J$11,20,0)))))</f>
        <v>N/A</v>
      </c>
      <c r="P18" s="107" t="str">
        <f>IF(OR($O18='Auto Responses'!$J$5,$L18='Auto Responses'!$J$5),'Auto Responses'!$J$5,$O18*$L18)</f>
        <v>N/A</v>
      </c>
      <c r="Q18" s="107">
        <f t="shared" si="1"/>
        <v>0</v>
      </c>
      <c r="R18" s="107">
        <f t="shared" si="5"/>
        <v>0</v>
      </c>
      <c r="S18" s="107">
        <f t="shared" si="2"/>
        <v>0</v>
      </c>
      <c r="T18" s="107">
        <f t="shared" si="3"/>
        <v>0</v>
      </c>
      <c r="U18" s="107">
        <f t="shared" si="6"/>
        <v>0</v>
      </c>
      <c r="V18" s="107">
        <f t="shared" si="4"/>
        <v>0</v>
      </c>
    </row>
    <row r="19" spans="1:22" ht="55.2" x14ac:dyDescent="0.3">
      <c r="A19" s="4" t="str">
        <f>Questions!$A19</f>
        <v>REQU-03</v>
      </c>
      <c r="B19" s="4" t="str">
        <f t="shared" si="0"/>
        <v>REQU</v>
      </c>
      <c r="C19" s="4" t="str">
        <f>VLOOKUP($A19,Questions!$A$3:$L$333,2,0)&amp;""</f>
        <v>Are you providing consulting services?</v>
      </c>
      <c r="D19" s="4" t="str">
        <f>VLOOKUP($A19,Questions!$A$3:$L$333,11,0)&amp;""</f>
        <v>NA</v>
      </c>
      <c r="E19" s="4" t="str">
        <f>VLOOKUP($A19,Questions!$A$3:$L$333,12,0)&amp;""</f>
        <v>Not Scored</v>
      </c>
      <c r="F19" s="4" t="str">
        <f>VLOOKUP($A19,'Institution Evaluation'!$A$56:$K$345,3,0)&amp;""</f>
        <v>No</v>
      </c>
      <c r="G19" s="4" t="str">
        <f>VLOOKUP($A19,'Institution Evaluation'!$A$56:$K$345,7,0)&amp;""</f>
        <v>Not scored</v>
      </c>
      <c r="H19" s="4" t="str">
        <f>VLOOKUP($A19,'Institution Evaluation'!$A$56:$K$345,8,0)&amp;""</f>
        <v/>
      </c>
      <c r="I19" s="4" t="str">
        <f>VLOOKUP($A19,'Institution Evaluation'!$A$56:$K$345,9,0)&amp;""</f>
        <v/>
      </c>
      <c r="J19" s="4" t="str">
        <f>VLOOKUP($A19,'Institution Evaluation'!$A$56:$K$345,10,0)&amp;""</f>
        <v/>
      </c>
      <c r="K19" s="4">
        <f>IF($I19='Auto Responses'!$J$11,20,IF($I19='Auto Responses'!$J$13,5,10))</f>
        <v>10</v>
      </c>
      <c r="L19" s="107" t="str">
        <f>IF($E19='Auto Responses'!$L$13, 'Auto Responses'!$J$5,IF(AND($D19='Auto Responses'!$J$27,$H19=""),'Auto Responses'!$J$5,IF(AND($D19='Auto Responses'!$J$27,$H19='Auto Responses'!$J$7),1,IF(AND($D19='Auto Responses'!$J$27,$H19='Auto Responses'!$J$8),0,IF(OR(AND($F19=$G19,$H19=""),$H19='Auto Responses'!$J$7),1,0)))))</f>
        <v>N/A</v>
      </c>
      <c r="M19" s="4" t="str">
        <f>VLOOKUP($A19,'Institution Evaluation'!$A$56:$K$345,11,0)&amp;""</f>
        <v>FALSE</v>
      </c>
      <c r="N19" s="4">
        <f>IF($J19='Auto Responses'!$J$11,1,IF(AND($J19="",$I19='Auto Responses'!$J$11),1,0))</f>
        <v>0</v>
      </c>
      <c r="O19" s="107" t="str">
        <f>IF($E19='Auto Responses'!$L$13,'Auto Responses'!$J$5,IF($J19="",$K19,IF($J19='Auto Responses'!$J$13,5,IF($J19='Auto Responses'!$J$12,10,IF($J19='Auto Responses'!$J$11,20,0)))))</f>
        <v>N/A</v>
      </c>
      <c r="P19" s="107" t="str">
        <f>IF(OR($O19='Auto Responses'!$J$5,$L19='Auto Responses'!$J$5),'Auto Responses'!$J$5,$O19*$L19)</f>
        <v>N/A</v>
      </c>
      <c r="Q19" s="107">
        <f t="shared" si="1"/>
        <v>0</v>
      </c>
      <c r="R19" s="107">
        <f t="shared" si="5"/>
        <v>0</v>
      </c>
      <c r="S19" s="107">
        <f t="shared" si="2"/>
        <v>0</v>
      </c>
      <c r="T19" s="107">
        <f t="shared" si="3"/>
        <v>0</v>
      </c>
      <c r="U19" s="107">
        <f t="shared" si="6"/>
        <v>0</v>
      </c>
      <c r="V19" s="107">
        <f t="shared" si="4"/>
        <v>0</v>
      </c>
    </row>
    <row r="20" spans="1:22" ht="55.2" x14ac:dyDescent="0.3">
      <c r="A20" s="4" t="str">
        <f>Questions!$A20</f>
        <v>REQU-04</v>
      </c>
      <c r="B20" s="4" t="str">
        <f t="shared" si="0"/>
        <v>REQU</v>
      </c>
      <c r="C20" s="4" t="str">
        <f>VLOOKUP($A20,Questions!$A$3:$L$333,2,0)&amp;""</f>
        <v>Does your solution have AI features, or are there plans to implement AI features in the next 12 months?</v>
      </c>
      <c r="D20" s="4" t="str">
        <f>VLOOKUP($A20,Questions!$A$3:$L$333,11,0)&amp;""</f>
        <v>NA</v>
      </c>
      <c r="E20" s="4" t="str">
        <f>VLOOKUP($A20,Questions!$A$3:$L$333,12,0)&amp;""</f>
        <v>Not Scored</v>
      </c>
      <c r="F20" s="4" t="str">
        <f>VLOOKUP($A20,'Institution Evaluation'!$A$56:$K$345,3,0)&amp;""</f>
        <v>Yes</v>
      </c>
      <c r="G20" s="4" t="str">
        <f>VLOOKUP($A20,'Institution Evaluation'!$A$56:$K$345,7,0)&amp;""</f>
        <v>Not scored</v>
      </c>
      <c r="H20" s="4" t="str">
        <f>VLOOKUP($A20,'Institution Evaluation'!$A$56:$K$345,8,0)&amp;""</f>
        <v/>
      </c>
      <c r="I20" s="4" t="str">
        <f>VLOOKUP($A20,'Institution Evaluation'!$A$56:$K$345,9,0)&amp;""</f>
        <v/>
      </c>
      <c r="J20" s="4" t="str">
        <f>VLOOKUP($A20,'Institution Evaluation'!$A$56:$K$345,10,0)&amp;""</f>
        <v/>
      </c>
      <c r="K20" s="4">
        <f>IF($I20='Auto Responses'!$J$11,20,IF($I20='Auto Responses'!$J$13,5,10))</f>
        <v>10</v>
      </c>
      <c r="L20" s="107" t="str">
        <f>IF($E20='Auto Responses'!$L$13, 'Auto Responses'!$J$5,IF(AND($D20='Auto Responses'!$J$27,$H20=""),'Auto Responses'!$J$5,IF(AND($D20='Auto Responses'!$J$27,$H20='Auto Responses'!$J$7),1,IF(AND($D20='Auto Responses'!$J$27,$H20='Auto Responses'!$J$8),0,IF(OR(AND($F20=$G20,$H20=""),$H20='Auto Responses'!$J$7),1,0)))))</f>
        <v>N/A</v>
      </c>
      <c r="M20" s="4" t="str">
        <f>VLOOKUP($A20,'Institution Evaluation'!$A$56:$K$345,11,0)&amp;""</f>
        <v>FALSE</v>
      </c>
      <c r="N20" s="4">
        <f>IF($J20='Auto Responses'!$J$11,1,IF(AND($J20="",$I20='Auto Responses'!$J$11),1,0))</f>
        <v>0</v>
      </c>
      <c r="O20" s="107" t="str">
        <f>IF($E20='Auto Responses'!$L$13,'Auto Responses'!$J$5,IF($J20="",$K20,IF($J20='Auto Responses'!$J$13,5,IF($J20='Auto Responses'!$J$12,10,IF($J20='Auto Responses'!$J$11,20,0)))))</f>
        <v>N/A</v>
      </c>
      <c r="P20" s="107" t="str">
        <f>IF(OR($O20='Auto Responses'!$J$5,$L20='Auto Responses'!$J$5),'Auto Responses'!$J$5,$O20*$L20)</f>
        <v>N/A</v>
      </c>
      <c r="Q20" s="107">
        <f t="shared" si="1"/>
        <v>0</v>
      </c>
      <c r="R20" s="107">
        <f t="shared" si="5"/>
        <v>0</v>
      </c>
      <c r="S20" s="107">
        <f t="shared" si="2"/>
        <v>0</v>
      </c>
      <c r="T20" s="107">
        <f t="shared" si="3"/>
        <v>0</v>
      </c>
      <c r="U20" s="107">
        <f t="shared" si="6"/>
        <v>0</v>
      </c>
      <c r="V20" s="107">
        <f t="shared" si="4"/>
        <v>0</v>
      </c>
    </row>
    <row r="21" spans="1:22" ht="55.2" x14ac:dyDescent="0.3">
      <c r="A21" s="4" t="str">
        <f>Questions!$A21</f>
        <v>REQU-05</v>
      </c>
      <c r="B21" s="4" t="str">
        <f t="shared" si="0"/>
        <v>REQU</v>
      </c>
      <c r="C21" s="4" t="str">
        <f>VLOOKUP($A21,Questions!$A$3:$L$333,2,0)&amp;""</f>
        <v>Does your solution process protected health information (PHI) or any data covered by the Health Insurance Portability and Accountability Act (HIPAA)?</v>
      </c>
      <c r="D21" s="4" t="str">
        <f>VLOOKUP($A21,Questions!$A$3:$L$333,11,0)&amp;""</f>
        <v>NA</v>
      </c>
      <c r="E21" s="4" t="str">
        <f>VLOOKUP($A21,Questions!$A$3:$L$333,12,0)&amp;""</f>
        <v>Not Scored</v>
      </c>
      <c r="F21" s="4" t="str">
        <f>VLOOKUP($A21,'Institution Evaluation'!$A$56:$K$345,3,0)&amp;""</f>
        <v>No</v>
      </c>
      <c r="G21" s="4" t="str">
        <f>VLOOKUP($A21,'Institution Evaluation'!$A$56:$K$345,7,0)&amp;""</f>
        <v>Not scored</v>
      </c>
      <c r="H21" s="4" t="str">
        <f>VLOOKUP($A21,'Institution Evaluation'!$A$56:$K$345,8,0)&amp;""</f>
        <v/>
      </c>
      <c r="I21" s="4" t="str">
        <f>VLOOKUP($A21,'Institution Evaluation'!$A$56:$K$345,9,0)&amp;""</f>
        <v/>
      </c>
      <c r="J21" s="4" t="str">
        <f>VLOOKUP($A21,'Institution Evaluation'!$A$56:$K$345,10,0)&amp;""</f>
        <v/>
      </c>
      <c r="K21" s="4">
        <f>IF($I21='Auto Responses'!$J$11,20,IF($I21='Auto Responses'!$J$13,5,10))</f>
        <v>10</v>
      </c>
      <c r="L21" s="107" t="str">
        <f>IF($E21='Auto Responses'!$L$13, 'Auto Responses'!$J$5,IF(AND($D21='Auto Responses'!$J$27,$H21=""),'Auto Responses'!$J$5,IF(AND($D21='Auto Responses'!$J$27,$H21='Auto Responses'!$J$7),1,IF(AND($D21='Auto Responses'!$J$27,$H21='Auto Responses'!$J$8),0,IF(OR(AND($F21=$G21,$H21=""),$H21='Auto Responses'!$J$7),1,0)))))</f>
        <v>N/A</v>
      </c>
      <c r="M21" s="4" t="str">
        <f>VLOOKUP($A21,'Institution Evaluation'!$A$56:$K$345,11,0)&amp;""</f>
        <v>FALSE</v>
      </c>
      <c r="N21" s="4">
        <f>IF($J21='Auto Responses'!$J$11,1,IF(AND($J21="",$I21='Auto Responses'!$J$11),1,0))</f>
        <v>0</v>
      </c>
      <c r="O21" s="107" t="str">
        <f>IF($E21='Auto Responses'!$L$13,'Auto Responses'!$J$5,IF($J21="",$K21,IF($J21='Auto Responses'!$J$13,5,IF($J21='Auto Responses'!$J$12,10,IF($J21='Auto Responses'!$J$11,20,0)))))</f>
        <v>N/A</v>
      </c>
      <c r="P21" s="107" t="str">
        <f>IF(OR($O21='Auto Responses'!$J$5,$L21='Auto Responses'!$J$5),'Auto Responses'!$J$5,$O21*$L21)</f>
        <v>N/A</v>
      </c>
      <c r="Q21" s="107">
        <f t="shared" si="1"/>
        <v>0</v>
      </c>
      <c r="R21" s="107">
        <f t="shared" si="5"/>
        <v>0</v>
      </c>
      <c r="S21" s="107">
        <f t="shared" si="2"/>
        <v>0</v>
      </c>
      <c r="T21" s="107">
        <f t="shared" si="3"/>
        <v>0</v>
      </c>
      <c r="U21" s="107">
        <f t="shared" si="6"/>
        <v>0</v>
      </c>
      <c r="V21" s="107">
        <f t="shared" si="4"/>
        <v>0</v>
      </c>
    </row>
    <row r="22" spans="1:22" ht="55.2" x14ac:dyDescent="0.3">
      <c r="A22" s="4" t="str">
        <f>Questions!$A22</f>
        <v>REQU-06</v>
      </c>
      <c r="B22" s="4" t="str">
        <f t="shared" si="0"/>
        <v>REQU</v>
      </c>
      <c r="C22" s="4" t="str">
        <f>VLOOKUP($A22,Questions!$A$3:$L$333,2,0)&amp;""</f>
        <v>Is the solution designed to process, store, or transmit credit card information?</v>
      </c>
      <c r="D22" s="4" t="str">
        <f>VLOOKUP($A22,Questions!$A$3:$L$333,11,0)&amp;""</f>
        <v>NA</v>
      </c>
      <c r="E22" s="4" t="str">
        <f>VLOOKUP($A22,Questions!$A$3:$L$333,12,0)&amp;""</f>
        <v>Not Scored</v>
      </c>
      <c r="F22" s="4" t="str">
        <f>VLOOKUP($A22,'Institution Evaluation'!$A$56:$K$345,3,0)&amp;""</f>
        <v>No</v>
      </c>
      <c r="G22" s="4" t="str">
        <f>VLOOKUP($A22,'Institution Evaluation'!$A$56:$K$345,7,0)&amp;""</f>
        <v>Not scored</v>
      </c>
      <c r="H22" s="4" t="str">
        <f>VLOOKUP($A22,'Institution Evaluation'!$A$56:$K$345,8,0)&amp;""</f>
        <v/>
      </c>
      <c r="I22" s="4" t="str">
        <f>VLOOKUP($A22,'Institution Evaluation'!$A$56:$K$345,9,0)&amp;""</f>
        <v/>
      </c>
      <c r="J22" s="4" t="str">
        <f>VLOOKUP($A22,'Institution Evaluation'!$A$56:$K$345,10,0)&amp;""</f>
        <v/>
      </c>
      <c r="K22" s="4">
        <f>IF($I22='Auto Responses'!$J$11,20,IF($I22='Auto Responses'!$J$13,5,10))</f>
        <v>10</v>
      </c>
      <c r="L22" s="107" t="str">
        <f>IF($E22='Auto Responses'!$L$13, 'Auto Responses'!$J$5,IF(AND($D22='Auto Responses'!$J$27,$H22=""),'Auto Responses'!$J$5,IF(AND($D22='Auto Responses'!$J$27,$H22='Auto Responses'!$J$7),1,IF(AND($D22='Auto Responses'!$J$27,$H22='Auto Responses'!$J$8),0,IF(OR(AND($F22=$G22,$H22=""),$H22='Auto Responses'!$J$7),1,0)))))</f>
        <v>N/A</v>
      </c>
      <c r="M22" s="4" t="str">
        <f>VLOOKUP($A22,'Institution Evaluation'!$A$56:$K$345,11,0)&amp;""</f>
        <v>FALSE</v>
      </c>
      <c r="N22" s="4">
        <f>IF($J22='Auto Responses'!$J$11,1,IF(AND($J22="",$I22='Auto Responses'!$J$11),1,0))</f>
        <v>0</v>
      </c>
      <c r="O22" s="107" t="str">
        <f>IF($E22='Auto Responses'!$L$13,'Auto Responses'!$J$5,IF($J22="",$K22,IF($J22='Auto Responses'!$J$13,5,IF($J22='Auto Responses'!$J$12,10,IF($J22='Auto Responses'!$J$11,20,0)))))</f>
        <v>N/A</v>
      </c>
      <c r="P22" s="107" t="str">
        <f>IF(OR($O22='Auto Responses'!$J$5,$L22='Auto Responses'!$J$5),'Auto Responses'!$J$5,$O22*$L22)</f>
        <v>N/A</v>
      </c>
      <c r="Q22" s="107">
        <f t="shared" si="1"/>
        <v>0</v>
      </c>
      <c r="R22" s="107">
        <f t="shared" si="5"/>
        <v>0</v>
      </c>
      <c r="S22" s="107">
        <f t="shared" si="2"/>
        <v>0</v>
      </c>
      <c r="T22" s="107">
        <f t="shared" si="3"/>
        <v>0</v>
      </c>
      <c r="U22" s="107">
        <f t="shared" si="6"/>
        <v>0</v>
      </c>
      <c r="V22" s="107">
        <f t="shared" si="4"/>
        <v>0</v>
      </c>
    </row>
    <row r="23" spans="1:22" ht="69" x14ac:dyDescent="0.3">
      <c r="A23" s="4" t="str">
        <f>Questions!$A23</f>
        <v>REQU-07</v>
      </c>
      <c r="B23" s="4" t="str">
        <f t="shared" si="0"/>
        <v>REQU</v>
      </c>
      <c r="C23" s="4" t="str">
        <f>VLOOKUP($A23,Questions!$A$3:$L$333,2,0)&amp;""</f>
        <v>Does operating your solution require the institution to operate a physical or virtual appliance in their own environment or to provide inbound firewall exceptions to allow your employees to remotely administer systems in the institution's environment?</v>
      </c>
      <c r="D23" s="4" t="str">
        <f>VLOOKUP($A23,Questions!$A$3:$L$333,11,0)&amp;""</f>
        <v>NA</v>
      </c>
      <c r="E23" s="4" t="str">
        <f>VLOOKUP($A23,Questions!$A$3:$L$333,12,0)&amp;""</f>
        <v>Not Scored</v>
      </c>
      <c r="F23" s="4" t="str">
        <f>VLOOKUP($A23,'Institution Evaluation'!$A$56:$K$345,3,0)&amp;""</f>
        <v>No</v>
      </c>
      <c r="G23" s="4" t="str">
        <f>VLOOKUP($A23,'Institution Evaluation'!$A$56:$K$345,7,0)&amp;""</f>
        <v>Not scored</v>
      </c>
      <c r="H23" s="4" t="str">
        <f>VLOOKUP($A23,'Institution Evaluation'!$A$56:$K$345,8,0)&amp;""</f>
        <v/>
      </c>
      <c r="I23" s="4" t="str">
        <f>VLOOKUP($A23,'Institution Evaluation'!$A$56:$K$345,9,0)&amp;""</f>
        <v/>
      </c>
      <c r="J23" s="4" t="str">
        <f>VLOOKUP($A23,'Institution Evaluation'!$A$56:$K$345,10,0)&amp;""</f>
        <v/>
      </c>
      <c r="K23" s="4">
        <f>IF($I23='Auto Responses'!$J$11,20,IF($I23='Auto Responses'!$J$13,5,10))</f>
        <v>10</v>
      </c>
      <c r="L23" s="107" t="str">
        <f>IF($E23='Auto Responses'!$L$13, 'Auto Responses'!$J$5,IF(AND($D23='Auto Responses'!$J$27,$H23=""),'Auto Responses'!$J$5,IF(AND($D23='Auto Responses'!$J$27,$H23='Auto Responses'!$J$7),1,IF(AND($D23='Auto Responses'!$J$27,$H23='Auto Responses'!$J$8),0,IF(OR(AND($F23=$G23,$H23=""),$H23='Auto Responses'!$J$7),1,0)))))</f>
        <v>N/A</v>
      </c>
      <c r="M23" s="4" t="str">
        <f>VLOOKUP($A23,'Institution Evaluation'!$A$56:$K$345,11,0)&amp;""</f>
        <v>FALSE</v>
      </c>
      <c r="N23" s="4">
        <f>IF($J23='Auto Responses'!$J$11,1,IF(AND($J23="",$I23='Auto Responses'!$J$11),1,0))</f>
        <v>0</v>
      </c>
      <c r="O23" s="107" t="str">
        <f>IF($E23='Auto Responses'!$L$13,'Auto Responses'!$J$5,IF($J23="",$K23,IF($J23='Auto Responses'!$J$13,5,IF($J23='Auto Responses'!$J$12,10,IF($J23='Auto Responses'!$J$11,20,0)))))</f>
        <v>N/A</v>
      </c>
      <c r="P23" s="107" t="str">
        <f>IF(OR($O23='Auto Responses'!$J$5,$L23='Auto Responses'!$J$5),'Auto Responses'!$J$5,$O23*$L23)</f>
        <v>N/A</v>
      </c>
      <c r="Q23" s="107">
        <f t="shared" si="1"/>
        <v>0</v>
      </c>
      <c r="R23" s="107">
        <f t="shared" si="5"/>
        <v>0</v>
      </c>
      <c r="S23" s="107">
        <f t="shared" si="2"/>
        <v>0</v>
      </c>
      <c r="T23" s="107">
        <f t="shared" si="3"/>
        <v>0</v>
      </c>
      <c r="U23" s="107">
        <f t="shared" si="6"/>
        <v>0</v>
      </c>
      <c r="V23" s="107">
        <f t="shared" si="4"/>
        <v>0</v>
      </c>
    </row>
    <row r="24" spans="1:22" ht="55.2" x14ac:dyDescent="0.3">
      <c r="A24" s="4" t="str">
        <f>Questions!$A24</f>
        <v>REQU-08</v>
      </c>
      <c r="B24" s="4" t="str">
        <f t="shared" si="0"/>
        <v>REQU</v>
      </c>
      <c r="C24" s="4" t="str">
        <f>VLOOKUP($A24,Questions!$A$3:$L$333,2,0)&amp;""</f>
        <v>Does your solution have access to personal or institutional data?</v>
      </c>
      <c r="D24" s="4" t="str">
        <f>VLOOKUP($A24,Questions!$A$3:$L$333,11,0)&amp;""</f>
        <v>NA</v>
      </c>
      <c r="E24" s="4" t="str">
        <f>VLOOKUP($A24,Questions!$A$3:$L$333,12,0)&amp;""</f>
        <v>Not Scored</v>
      </c>
      <c r="F24" s="4" t="str">
        <f>VLOOKUP($A24,'Institution Evaluation'!$A$56:$K$345,3,0)&amp;""</f>
        <v>Yes</v>
      </c>
      <c r="G24" s="4" t="str">
        <f>VLOOKUP($A24,'Institution Evaluation'!$A$56:$K$345,7,0)&amp;""</f>
        <v>Not scored</v>
      </c>
      <c r="H24" s="4" t="str">
        <f>VLOOKUP($A24,'Institution Evaluation'!$A$56:$K$345,8,0)&amp;""</f>
        <v/>
      </c>
      <c r="I24" s="4" t="str">
        <f>VLOOKUP($A24,'Institution Evaluation'!$A$56:$K$345,9,0)&amp;""</f>
        <v/>
      </c>
      <c r="J24" s="4" t="str">
        <f>VLOOKUP($A24,'Institution Evaluation'!$A$56:$K$345,10,0)&amp;""</f>
        <v/>
      </c>
      <c r="K24" s="4">
        <f>IF($I24='Auto Responses'!$J$11,20,IF($I24='Auto Responses'!$J$13,5,10))</f>
        <v>10</v>
      </c>
      <c r="L24" s="107" t="str">
        <f>IF($E24='Auto Responses'!$L$13, 'Auto Responses'!$J$5,IF(AND($D24='Auto Responses'!$J$27,$H24=""),'Auto Responses'!$J$5,IF(AND($D24='Auto Responses'!$J$27,$H24='Auto Responses'!$J$7),1,IF(AND($D24='Auto Responses'!$J$27,$H24='Auto Responses'!$J$8),0,IF(OR(AND($F24=$G24,$H24=""),$H24='Auto Responses'!$J$7),1,0)))))</f>
        <v>N/A</v>
      </c>
      <c r="M24" s="4" t="str">
        <f>VLOOKUP($A24,'Institution Evaluation'!$A$56:$K$345,11,0)&amp;""</f>
        <v>FALSE</v>
      </c>
      <c r="N24" s="4">
        <f>IF($J24='Auto Responses'!$J$11,1,IF(AND($J24="",$I24='Auto Responses'!$J$11),1,0))</f>
        <v>0</v>
      </c>
      <c r="O24" s="107" t="str">
        <f>IF($E24='Auto Responses'!$L$13,'Auto Responses'!$J$5,IF($J24="",$K24,IF($J24='Auto Responses'!$J$13,5,IF($J24='Auto Responses'!$J$12,10,IF($J24='Auto Responses'!$J$11,20,0)))))</f>
        <v>N/A</v>
      </c>
      <c r="P24" s="107" t="str">
        <f>IF(OR($O24='Auto Responses'!$J$5,$L24='Auto Responses'!$J$5),'Auto Responses'!$J$5,$O24*$L24)</f>
        <v>N/A</v>
      </c>
      <c r="Q24" s="107">
        <f t="shared" si="1"/>
        <v>0</v>
      </c>
      <c r="R24" s="107">
        <f t="shared" si="5"/>
        <v>0</v>
      </c>
      <c r="S24" s="107">
        <f t="shared" si="2"/>
        <v>0</v>
      </c>
      <c r="T24" s="107">
        <f t="shared" si="3"/>
        <v>0</v>
      </c>
      <c r="U24" s="107">
        <f t="shared" si="6"/>
        <v>0</v>
      </c>
      <c r="V24" s="107">
        <f t="shared" si="4"/>
        <v>0</v>
      </c>
    </row>
    <row r="25" spans="1:22" ht="55.2" x14ac:dyDescent="0.3">
      <c r="A25" s="4" t="str">
        <f>Questions!$A25</f>
        <v>DOCU-01</v>
      </c>
      <c r="B25" s="4" t="str">
        <f t="shared" si="0"/>
        <v>DOCU</v>
      </c>
      <c r="C25" s="4" t="str">
        <f>VLOOKUP($A25,Questions!$A$3:$L$333,2,0)&amp;""</f>
        <v>Do you have a well-documented business continuity plan (BCP), with a clear owner, that is tested annually?*</v>
      </c>
      <c r="D25" s="4" t="str">
        <f>VLOOKUP($A25,Questions!$A$3:$L$333,11,0)&amp;""</f>
        <v/>
      </c>
      <c r="E25" s="4" t="str">
        <f>VLOOKUP($A25,Questions!$A$3:$L$333,12,0)&amp;""</f>
        <v>Organization</v>
      </c>
      <c r="F25" s="4" t="str">
        <f>VLOOKUP($A25,'Institution Evaluation'!$A$56:$K$345,3,0)&amp;""</f>
        <v>Yes</v>
      </c>
      <c r="G25" s="4" t="str">
        <f>VLOOKUP($A25,'Institution Evaluation'!$A$56:$K$345,7,0)&amp;""</f>
        <v>Yes</v>
      </c>
      <c r="H25" s="4" t="str">
        <f>VLOOKUP($A25,'Institution Evaluation'!$A$56:$K$345,8,0)&amp;""</f>
        <v/>
      </c>
      <c r="I25" s="4" t="str">
        <f>VLOOKUP($A25,'Institution Evaluation'!$A$56:$K$345,9,0)&amp;""</f>
        <v>Critical Importance</v>
      </c>
      <c r="J25" s="4" t="str">
        <f>VLOOKUP($A25,'Institution Evaluation'!$A$56:$K$345,10,0)&amp;""</f>
        <v/>
      </c>
      <c r="K25" s="4">
        <f>IF($I25='Auto Responses'!$J$11,20,IF($I25='Auto Responses'!$J$13,5,10))</f>
        <v>20</v>
      </c>
      <c r="L25" s="107">
        <f>IF($E25='Auto Responses'!$L$13, 'Auto Responses'!$J$5,IF(AND($D25='Auto Responses'!$J$27,$H25=""),'Auto Responses'!$J$5,IF(AND($D25='Auto Responses'!$J$27,$H25='Auto Responses'!$J$7),1,IF(AND($D25='Auto Responses'!$J$27,$H25='Auto Responses'!$J$8),0,IF(OR(AND($F25=$G25,$H25=""),$H25='Auto Responses'!$J$7),1,0)))))</f>
        <v>1</v>
      </c>
      <c r="M25" s="4" t="str">
        <f>VLOOKUP($A25,'Institution Evaluation'!$A$56:$K$345,11,0)&amp;""</f>
        <v>FALSE</v>
      </c>
      <c r="N25" s="4">
        <f>IF($J25='Auto Responses'!$J$11,1,IF(AND($J25="",$I25='Auto Responses'!$J$11),1,0))</f>
        <v>1</v>
      </c>
      <c r="O25" s="107">
        <f>IF(OR($E25='Auto Responses'!$L$13,$F25='Auto Responses'!$J$5),'Auto Responses'!$J$5,IF($J25="",$K25,IF($J25='Auto Responses'!$J$13,5,IF($J25='Auto Responses'!$J$12,10,IF($J25='Auto Responses'!$J$11,20,0)))))</f>
        <v>20</v>
      </c>
      <c r="P25" s="107">
        <f>IF(OR($O25='Auto Responses'!$J$5,$L25='Auto Responses'!$J$5),'Auto Responses'!$J$5,$O25*$L25)</f>
        <v>20</v>
      </c>
      <c r="Q25" s="107">
        <f t="shared" si="1"/>
        <v>0</v>
      </c>
      <c r="R25" s="107">
        <f t="shared" si="5"/>
        <v>0</v>
      </c>
      <c r="S25" s="107">
        <f t="shared" si="2"/>
        <v>0</v>
      </c>
      <c r="T25" s="107">
        <f t="shared" si="3"/>
        <v>1</v>
      </c>
      <c r="U25" s="107">
        <f t="shared" si="6"/>
        <v>1</v>
      </c>
      <c r="V25" s="107">
        <f t="shared" si="4"/>
        <v>1</v>
      </c>
    </row>
    <row r="26" spans="1:22" ht="55.2" x14ac:dyDescent="0.3">
      <c r="A26" s="4" t="str">
        <f>Questions!$A26</f>
        <v>DOCU-02</v>
      </c>
      <c r="B26" s="4" t="str">
        <f t="shared" si="0"/>
        <v>DOCU</v>
      </c>
      <c r="C26" s="4" t="str">
        <f>VLOOKUP($A26,Questions!$A$3:$L$333,2,0)&amp;""</f>
        <v>Do you have a well-documented disaster recovery plan (DRP), with a clear owner, that is tested annually?*</v>
      </c>
      <c r="D26" s="4" t="str">
        <f>VLOOKUP($A26,Questions!$A$3:$L$333,11,0)&amp;""</f>
        <v/>
      </c>
      <c r="E26" s="4" t="str">
        <f>VLOOKUP($A26,Questions!$A$3:$L$333,12,0)&amp;""</f>
        <v>Organization</v>
      </c>
      <c r="F26" s="4" t="str">
        <f>VLOOKUP($A26,'Institution Evaluation'!$A$56:$K$345,3,0)&amp;""</f>
        <v>Yes</v>
      </c>
      <c r="G26" s="4" t="str">
        <f>VLOOKUP($A26,'Institution Evaluation'!$A$56:$K$345,7,0)&amp;""</f>
        <v>Yes</v>
      </c>
      <c r="H26" s="4" t="str">
        <f>VLOOKUP($A26,'Institution Evaluation'!$A$56:$K$345,8,0)&amp;""</f>
        <v/>
      </c>
      <c r="I26" s="4" t="str">
        <f>VLOOKUP($A26,'Institution Evaluation'!$A$56:$K$345,9,0)&amp;""</f>
        <v>Critical Importance</v>
      </c>
      <c r="J26" s="4" t="str">
        <f>VLOOKUP($A26,'Institution Evaluation'!$A$56:$K$345,10,0)&amp;""</f>
        <v/>
      </c>
      <c r="K26" s="4">
        <f>IF($I26='Auto Responses'!$J$11,20,IF($I26='Auto Responses'!$J$13,5,10))</f>
        <v>20</v>
      </c>
      <c r="L26" s="107">
        <f>IF($E26='Auto Responses'!$L$13, 'Auto Responses'!$J$5,IF(AND($D26='Auto Responses'!$J$27,$H26=""),'Auto Responses'!$J$5,IF(AND($D26='Auto Responses'!$J$27,$H26='Auto Responses'!$J$7),1,IF(AND($D26='Auto Responses'!$J$27,$H26='Auto Responses'!$J$8),0,IF(OR(AND($F26=$G26,$H26=""),$H26='Auto Responses'!$J$7),1,0)))))</f>
        <v>1</v>
      </c>
      <c r="M26" s="4" t="str">
        <f>VLOOKUP($A26,'Institution Evaluation'!$A$56:$K$345,11,0)&amp;""</f>
        <v>FALSE</v>
      </c>
      <c r="N26" s="4">
        <f>IF($J26='Auto Responses'!$J$11,1,IF(AND($J26="",$I26='Auto Responses'!$J$11),1,0))</f>
        <v>1</v>
      </c>
      <c r="O26" s="107">
        <f>IF(OR($E26='Auto Responses'!$L$13,$F26='Auto Responses'!$J$5),'Auto Responses'!$J$5,IF($J26="",$K26,IF($J26='Auto Responses'!$J$13,5,IF($J26='Auto Responses'!$J$12,10,IF($J26='Auto Responses'!$J$11,20,0)))))</f>
        <v>20</v>
      </c>
      <c r="P26" s="107">
        <f>IF(OR($O26='Auto Responses'!$J$5,$L26='Auto Responses'!$J$5),'Auto Responses'!$J$5,$O26*$L26)</f>
        <v>20</v>
      </c>
      <c r="Q26" s="107">
        <f t="shared" si="1"/>
        <v>0</v>
      </c>
      <c r="R26" s="107">
        <f t="shared" si="5"/>
        <v>0</v>
      </c>
      <c r="S26" s="107">
        <f t="shared" si="2"/>
        <v>0</v>
      </c>
      <c r="T26" s="107">
        <f t="shared" si="3"/>
        <v>1</v>
      </c>
      <c r="U26" s="107">
        <f t="shared" si="6"/>
        <v>2</v>
      </c>
      <c r="V26" s="107">
        <f t="shared" si="4"/>
        <v>2</v>
      </c>
    </row>
    <row r="27" spans="1:22" ht="55.2" x14ac:dyDescent="0.3">
      <c r="A27" s="4" t="str">
        <f>Questions!$A27</f>
        <v>DOCU-03</v>
      </c>
      <c r="B27" s="4" t="str">
        <f t="shared" si="0"/>
        <v>DOCU</v>
      </c>
      <c r="C27" s="4" t="str">
        <f>VLOOKUP($A27,Questions!$A$3:$L$333,2,0)&amp;""</f>
        <v>Have you undergone a SSAE 18/SOC 2 audit?</v>
      </c>
      <c r="D27" s="4" t="str">
        <f>VLOOKUP($A27,Questions!$A$3:$L$333,11,0)&amp;""</f>
        <v/>
      </c>
      <c r="E27" s="4" t="str">
        <f>VLOOKUP($A27,Questions!$A$3:$L$333,12,0)&amp;""</f>
        <v>Organization</v>
      </c>
      <c r="F27" s="4" t="str">
        <f>VLOOKUP($A27,'Institution Evaluation'!$A$56:$K$345,3,0)&amp;""</f>
        <v>No</v>
      </c>
      <c r="G27" s="4" t="str">
        <f>VLOOKUP($A27,'Institution Evaluation'!$A$56:$K$345,7,0)&amp;""</f>
        <v>Yes</v>
      </c>
      <c r="H27" s="4" t="str">
        <f>VLOOKUP($A27,'Institution Evaluation'!$A$56:$K$345,8,0)&amp;""</f>
        <v/>
      </c>
      <c r="I27" s="4" t="str">
        <f>VLOOKUP($A27,'Institution Evaluation'!$A$56:$K$345,9,0)&amp;""</f>
        <v>Standard Importance</v>
      </c>
      <c r="J27" s="4" t="str">
        <f>VLOOKUP($A27,'Institution Evaluation'!$A$56:$K$345,10,0)&amp;""</f>
        <v/>
      </c>
      <c r="K27" s="4">
        <f>IF($I27='Auto Responses'!$J$11,20,IF($I27='Auto Responses'!$J$13,5,10))</f>
        <v>10</v>
      </c>
      <c r="L27" s="107">
        <f>IF($E27='Auto Responses'!$L$13, 'Auto Responses'!$J$5,IF(AND($D27='Auto Responses'!$J$27,$H27=""),'Auto Responses'!$J$5,IF(AND($D27='Auto Responses'!$J$27,$H27='Auto Responses'!$J$7),1,IF(AND($D27='Auto Responses'!$J$27,$H27='Auto Responses'!$J$8),0,IF(OR(AND($F27=$G27,$H27=""),$H27='Auto Responses'!$J$7),1,0)))))</f>
        <v>0</v>
      </c>
      <c r="M27" s="4" t="str">
        <f>VLOOKUP($A27,'Institution Evaluation'!$A$56:$K$345,11,0)&amp;""</f>
        <v>FALSE</v>
      </c>
      <c r="N27" s="4">
        <f>IF($J27='Auto Responses'!$J$11,1,IF(AND($J27="",$I27='Auto Responses'!$J$11),1,0))</f>
        <v>0</v>
      </c>
      <c r="O27" s="107">
        <f>IF(OR($E27='Auto Responses'!$L$13,$F27='Auto Responses'!$J$5),'Auto Responses'!$J$5,IF($J27="",$K27,IF($J27='Auto Responses'!$J$13,5,IF($J27='Auto Responses'!$J$12,10,IF($J27='Auto Responses'!$J$11,20,0)))))</f>
        <v>10</v>
      </c>
      <c r="P27" s="107">
        <f>IF(OR($O27='Auto Responses'!$J$5,$L27='Auto Responses'!$J$5),'Auto Responses'!$J$5,$O27*$L27)</f>
        <v>0</v>
      </c>
      <c r="Q27" s="107">
        <f t="shared" si="1"/>
        <v>0</v>
      </c>
      <c r="R27" s="107">
        <f t="shared" si="5"/>
        <v>0</v>
      </c>
      <c r="S27" s="107">
        <f t="shared" si="2"/>
        <v>0</v>
      </c>
      <c r="T27" s="107">
        <f t="shared" si="3"/>
        <v>0</v>
      </c>
      <c r="U27" s="107">
        <f t="shared" si="6"/>
        <v>2</v>
      </c>
      <c r="V27" s="107">
        <f t="shared" si="4"/>
        <v>0</v>
      </c>
    </row>
    <row r="28" spans="1:22" ht="55.2" x14ac:dyDescent="0.3">
      <c r="A28" s="4" t="str">
        <f>Questions!$A28</f>
        <v>DOCU-04</v>
      </c>
      <c r="B28" s="4" t="str">
        <f t="shared" si="0"/>
        <v>DOCU</v>
      </c>
      <c r="C28" s="4" t="str">
        <f>VLOOKUP($A28,Questions!$A$3:$L$333,2,0)&amp;""</f>
        <v>Do you conform with a specific industry standard security framework (e.g., NIST Cybersecurity Framework, CIS Controls, ISO 27001, etc.)?</v>
      </c>
      <c r="D28" s="4" t="str">
        <f>VLOOKUP($A28,Questions!$A$3:$L$333,11,0)&amp;""</f>
        <v/>
      </c>
      <c r="E28" s="4" t="str">
        <f>VLOOKUP($A28,Questions!$A$3:$L$333,12,0)&amp;""</f>
        <v>Organization</v>
      </c>
      <c r="F28" s="4" t="str">
        <f>VLOOKUP($A28,'Institution Evaluation'!$A$56:$K$345,3,0)&amp;""</f>
        <v>No</v>
      </c>
      <c r="G28" s="4" t="str">
        <f>VLOOKUP($A28,'Institution Evaluation'!$A$56:$K$345,7,0)&amp;""</f>
        <v>Yes</v>
      </c>
      <c r="H28" s="4" t="str">
        <f>VLOOKUP($A28,'Institution Evaluation'!$A$56:$K$345,8,0)&amp;""</f>
        <v/>
      </c>
      <c r="I28" s="4" t="str">
        <f>VLOOKUP($A28,'Institution Evaluation'!$A$56:$K$345,9,0)&amp;""</f>
        <v>Standard Importance</v>
      </c>
      <c r="J28" s="4" t="str">
        <f>VLOOKUP($A28,'Institution Evaluation'!$A$56:$K$345,10,0)&amp;""</f>
        <v/>
      </c>
      <c r="K28" s="4">
        <f>IF($I28='Auto Responses'!$J$11,20,IF($I28='Auto Responses'!$J$13,5,10))</f>
        <v>10</v>
      </c>
      <c r="L28" s="107">
        <f>IF($E28='Auto Responses'!$L$13, 'Auto Responses'!$J$5,IF(AND($D28='Auto Responses'!$J$27,$H28=""),'Auto Responses'!$J$5,IF(AND($D28='Auto Responses'!$J$27,$H28='Auto Responses'!$J$7),1,IF(AND($D28='Auto Responses'!$J$27,$H28='Auto Responses'!$J$8),0,IF(OR(AND($F28=$G28,$H28=""),$H28='Auto Responses'!$J$7),1,0)))))</f>
        <v>0</v>
      </c>
      <c r="M28" s="4" t="str">
        <f>VLOOKUP($A28,'Institution Evaluation'!$A$56:$K$345,11,0)&amp;""</f>
        <v>FALSE</v>
      </c>
      <c r="N28" s="4">
        <f>IF($J28='Auto Responses'!$J$11,1,IF(AND($J28="",$I28='Auto Responses'!$J$11),1,0))</f>
        <v>0</v>
      </c>
      <c r="O28" s="107">
        <f>IF(OR($E28='Auto Responses'!$L$13,$F28='Auto Responses'!$J$5),'Auto Responses'!$J$5,IF($J28="",$K28,IF($J28='Auto Responses'!$J$13,5,IF($J28='Auto Responses'!$J$12,10,IF($J28='Auto Responses'!$J$11,20,0)))))</f>
        <v>10</v>
      </c>
      <c r="P28" s="107">
        <f>IF(OR($O28='Auto Responses'!$J$5,$L28='Auto Responses'!$J$5),'Auto Responses'!$J$5,$O28*$L28)</f>
        <v>0</v>
      </c>
      <c r="Q28" s="107">
        <f t="shared" si="1"/>
        <v>0</v>
      </c>
      <c r="R28" s="107">
        <f t="shared" si="5"/>
        <v>0</v>
      </c>
      <c r="S28" s="107">
        <f t="shared" si="2"/>
        <v>0</v>
      </c>
      <c r="T28" s="107">
        <f t="shared" si="3"/>
        <v>0</v>
      </c>
      <c r="U28" s="107">
        <f t="shared" si="6"/>
        <v>2</v>
      </c>
      <c r="V28" s="107">
        <f t="shared" si="4"/>
        <v>0</v>
      </c>
    </row>
    <row r="29" spans="1:22" ht="55.2" x14ac:dyDescent="0.3">
      <c r="A29" s="4" t="str">
        <f>Questions!$A29</f>
        <v>DOCU-05</v>
      </c>
      <c r="B29" s="4" t="str">
        <f t="shared" si="0"/>
        <v>DOCU</v>
      </c>
      <c r="C29" s="4" t="str">
        <f>VLOOKUP($A29,Questions!$A$3:$L$333,2,0)&amp;""</f>
        <v>Can you provide overall system and/or application architecture diagrams, including a full description of the data flow for all components of the system?</v>
      </c>
      <c r="D29" s="4" t="str">
        <f>VLOOKUP($A29,Questions!$A$3:$L$333,11,0)&amp;""</f>
        <v/>
      </c>
      <c r="E29" s="4" t="str">
        <f>VLOOKUP($A29,Questions!$A$3:$L$333,12,0)&amp;""</f>
        <v>Organization</v>
      </c>
      <c r="F29" s="4" t="str">
        <f>VLOOKUP($A29,'Institution Evaluation'!$A$56:$K$345,3,0)&amp;""</f>
        <v>Yes</v>
      </c>
      <c r="G29" s="4" t="str">
        <f>VLOOKUP($A29,'Institution Evaluation'!$A$56:$K$345,7,0)&amp;""</f>
        <v>Yes</v>
      </c>
      <c r="H29" s="4" t="str">
        <f>VLOOKUP($A29,'Institution Evaluation'!$A$56:$K$345,8,0)&amp;""</f>
        <v/>
      </c>
      <c r="I29" s="4" t="str">
        <f>VLOOKUP($A29,'Institution Evaluation'!$A$56:$K$345,9,0)&amp;""</f>
        <v>Standard Importance</v>
      </c>
      <c r="J29" s="4" t="str">
        <f>VLOOKUP($A29,'Institution Evaluation'!$A$56:$K$345,10,0)&amp;""</f>
        <v/>
      </c>
      <c r="K29" s="4">
        <f>IF($I29='Auto Responses'!$J$11,20,IF($I29='Auto Responses'!$J$13,5,10))</f>
        <v>10</v>
      </c>
      <c r="L29" s="107">
        <f>IF($E29='Auto Responses'!$L$13, 'Auto Responses'!$J$5,IF(AND($D29='Auto Responses'!$J$27,$H29=""),'Auto Responses'!$J$5,IF(AND($D29='Auto Responses'!$J$27,$H29='Auto Responses'!$J$7),1,IF(AND($D29='Auto Responses'!$J$27,$H29='Auto Responses'!$J$8),0,IF(OR(AND($F29=$G29,$H29=""),$H29='Auto Responses'!$J$7),1,0)))))</f>
        <v>1</v>
      </c>
      <c r="M29" s="4" t="str">
        <f>VLOOKUP($A29,'Institution Evaluation'!$A$56:$K$345,11,0)&amp;""</f>
        <v>FALSE</v>
      </c>
      <c r="N29" s="4">
        <f>IF($J29='Auto Responses'!$J$11,1,IF(AND($J29="",$I29='Auto Responses'!$J$11),1,0))</f>
        <v>0</v>
      </c>
      <c r="O29" s="107">
        <f>IF(OR($E29='Auto Responses'!$L$13,$F29='Auto Responses'!$J$5),'Auto Responses'!$J$5,IF($J29="",$K29,IF($J29='Auto Responses'!$J$13,5,IF($J29='Auto Responses'!$J$12,10,IF($J29='Auto Responses'!$J$11,20,0)))))</f>
        <v>10</v>
      </c>
      <c r="P29" s="107">
        <f>IF(OR($O29='Auto Responses'!$J$5,$L29='Auto Responses'!$J$5),'Auto Responses'!$J$5,$O29*$L29)</f>
        <v>10</v>
      </c>
      <c r="Q29" s="107">
        <f t="shared" si="1"/>
        <v>0</v>
      </c>
      <c r="R29" s="107">
        <f t="shared" si="5"/>
        <v>0</v>
      </c>
      <c r="S29" s="107">
        <f t="shared" si="2"/>
        <v>0</v>
      </c>
      <c r="T29" s="107">
        <f t="shared" si="3"/>
        <v>0</v>
      </c>
      <c r="U29" s="107">
        <f t="shared" si="6"/>
        <v>2</v>
      </c>
      <c r="V29" s="107">
        <f t="shared" si="4"/>
        <v>0</v>
      </c>
    </row>
    <row r="30" spans="1:22" ht="55.2" x14ac:dyDescent="0.3">
      <c r="A30" s="4" t="str">
        <f>Questions!$A30</f>
        <v>DOCU-06</v>
      </c>
      <c r="B30" s="4" t="str">
        <f t="shared" si="0"/>
        <v>DOCU</v>
      </c>
      <c r="C30" s="4" t="str">
        <f>VLOOKUP($A30,Questions!$A$3:$L$333,2,0)&amp;""</f>
        <v>Does your organization have a data privacy policy?</v>
      </c>
      <c r="D30" s="4" t="str">
        <f>VLOOKUP($A30,Questions!$A$3:$L$333,11,0)&amp;""</f>
        <v/>
      </c>
      <c r="E30" s="4" t="str">
        <f>VLOOKUP($A30,Questions!$A$3:$L$333,12,0)&amp;""</f>
        <v>Organization</v>
      </c>
      <c r="F30" s="4" t="str">
        <f>VLOOKUP($A30,'Institution Evaluation'!$A$56:$K$345,3,0)&amp;""</f>
        <v>Yes</v>
      </c>
      <c r="G30" s="4" t="str">
        <f>VLOOKUP($A30,'Institution Evaluation'!$A$56:$K$345,7,0)&amp;""</f>
        <v>Yes</v>
      </c>
      <c r="H30" s="4" t="str">
        <f>VLOOKUP($A30,'Institution Evaluation'!$A$56:$K$345,8,0)&amp;""</f>
        <v/>
      </c>
      <c r="I30" s="4" t="str">
        <f>VLOOKUP($A30,'Institution Evaluation'!$A$56:$K$345,9,0)&amp;""</f>
        <v>Standard Importance</v>
      </c>
      <c r="J30" s="4" t="str">
        <f>VLOOKUP($A30,'Institution Evaluation'!$A$56:$K$345,10,0)&amp;""</f>
        <v/>
      </c>
      <c r="K30" s="4">
        <f>IF($I30='Auto Responses'!$J$11,20,IF($I30='Auto Responses'!$J$13,5,10))</f>
        <v>10</v>
      </c>
      <c r="L30" s="107">
        <f>IF($E30='Auto Responses'!$L$13, 'Auto Responses'!$J$5,IF(AND($D30='Auto Responses'!$J$27,$H30=""),'Auto Responses'!$J$5,IF(AND($D30='Auto Responses'!$J$27,$H30='Auto Responses'!$J$7),1,IF(AND($D30='Auto Responses'!$J$27,$H30='Auto Responses'!$J$8),0,IF(OR(AND($F30=$G30,$H30=""),$H30='Auto Responses'!$J$7),1,0)))))</f>
        <v>1</v>
      </c>
      <c r="M30" s="4" t="str">
        <f>VLOOKUP($A30,'Institution Evaluation'!$A$56:$K$345,11,0)&amp;""</f>
        <v>FALSE</v>
      </c>
      <c r="N30" s="4">
        <f>IF($J30='Auto Responses'!$J$11,1,IF(AND($J30="",$I30='Auto Responses'!$J$11),1,0))</f>
        <v>0</v>
      </c>
      <c r="O30" s="107">
        <f>IF(OR($E30='Auto Responses'!$L$13,$F30='Auto Responses'!$J$5),'Auto Responses'!$J$5,IF($J30="",$K30,IF($J30='Auto Responses'!$J$13,5,IF($J30='Auto Responses'!$J$12,10,IF($J30='Auto Responses'!$J$11,20,0)))))</f>
        <v>10</v>
      </c>
      <c r="P30" s="107">
        <f>IF(OR($O30='Auto Responses'!$J$5,$L30='Auto Responses'!$J$5),'Auto Responses'!$J$5,$O30*$L30)</f>
        <v>10</v>
      </c>
      <c r="Q30" s="107">
        <f t="shared" si="1"/>
        <v>0</v>
      </c>
      <c r="R30" s="107">
        <f t="shared" si="5"/>
        <v>0</v>
      </c>
      <c r="S30" s="107">
        <f t="shared" si="2"/>
        <v>0</v>
      </c>
      <c r="T30" s="107">
        <f t="shared" si="3"/>
        <v>0</v>
      </c>
      <c r="U30" s="107">
        <f t="shared" si="6"/>
        <v>2</v>
      </c>
      <c r="V30" s="107">
        <f t="shared" si="4"/>
        <v>0</v>
      </c>
    </row>
    <row r="31" spans="1:22" ht="55.2" x14ac:dyDescent="0.3">
      <c r="A31" s="4" t="str">
        <f>Questions!$A31</f>
        <v>DOCU-07</v>
      </c>
      <c r="B31" s="4" t="str">
        <f t="shared" si="0"/>
        <v>DOCU</v>
      </c>
      <c r="C31" s="4" t="str">
        <f>VLOOKUP($A31,Questions!$A$3:$L$333,2,0)&amp;""</f>
        <v>Do you have a documented, and currently implemented, employee onboarding and offboarding policy?</v>
      </c>
      <c r="D31" s="4" t="str">
        <f>VLOOKUP($A31,Questions!$A$3:$L$333,11,0)&amp;""</f>
        <v/>
      </c>
      <c r="E31" s="4" t="str">
        <f>VLOOKUP($A31,Questions!$A$3:$L$333,12,0)&amp;""</f>
        <v>Organization</v>
      </c>
      <c r="F31" s="4" t="str">
        <f>VLOOKUP($A31,'Institution Evaluation'!$A$56:$K$345,3,0)&amp;""</f>
        <v>Yes</v>
      </c>
      <c r="G31" s="4" t="str">
        <f>VLOOKUP($A31,'Institution Evaluation'!$A$56:$K$345,7,0)&amp;""</f>
        <v>Yes</v>
      </c>
      <c r="H31" s="4" t="str">
        <f>VLOOKUP($A31,'Institution Evaluation'!$A$56:$K$345,8,0)&amp;""</f>
        <v/>
      </c>
      <c r="I31" s="4" t="str">
        <f>VLOOKUP($A31,'Institution Evaluation'!$A$56:$K$345,9,0)&amp;""</f>
        <v>Standard Importance</v>
      </c>
      <c r="J31" s="4" t="str">
        <f>VLOOKUP($A31,'Institution Evaluation'!$A$56:$K$345,10,0)&amp;""</f>
        <v/>
      </c>
      <c r="K31" s="4">
        <f>IF($I31='Auto Responses'!$J$11,20,IF($I31='Auto Responses'!$J$13,5,10))</f>
        <v>10</v>
      </c>
      <c r="L31" s="107">
        <f>IF($E31='Auto Responses'!$L$13, 'Auto Responses'!$J$5,IF(AND($D31='Auto Responses'!$J$27,$H31=""),'Auto Responses'!$J$5,IF(AND($D31='Auto Responses'!$J$27,$H31='Auto Responses'!$J$7),1,IF(AND($D31='Auto Responses'!$J$27,$H31='Auto Responses'!$J$8),0,IF(OR(AND($F31=$G31,$H31=""),$H31='Auto Responses'!$J$7),1,0)))))</f>
        <v>1</v>
      </c>
      <c r="M31" s="4" t="str">
        <f>VLOOKUP($A31,'Institution Evaluation'!$A$56:$K$345,11,0)&amp;""</f>
        <v>FALSE</v>
      </c>
      <c r="N31" s="4">
        <f>IF($J31='Auto Responses'!$J$11,1,IF(AND($J31="",$I31='Auto Responses'!$J$11),1,0))</f>
        <v>0</v>
      </c>
      <c r="O31" s="107">
        <f>IF(OR($E31='Auto Responses'!$L$13,$F31='Auto Responses'!$J$5),'Auto Responses'!$J$5,IF($J31="",$K31,IF($J31='Auto Responses'!$J$13,5,IF($J31='Auto Responses'!$J$12,10,IF($J31='Auto Responses'!$J$11,20,0)))))</f>
        <v>10</v>
      </c>
      <c r="P31" s="107">
        <f>IF(OR($O31='Auto Responses'!$J$5,$L31='Auto Responses'!$J$5),'Auto Responses'!$J$5,$O31*$L31)</f>
        <v>10</v>
      </c>
      <c r="Q31" s="107">
        <f t="shared" si="1"/>
        <v>0</v>
      </c>
      <c r="R31" s="107">
        <f t="shared" si="5"/>
        <v>0</v>
      </c>
      <c r="S31" s="107">
        <f t="shared" si="2"/>
        <v>0</v>
      </c>
      <c r="T31" s="107">
        <f t="shared" si="3"/>
        <v>0</v>
      </c>
      <c r="U31" s="107">
        <f t="shared" si="6"/>
        <v>2</v>
      </c>
      <c r="V31" s="107">
        <f t="shared" si="4"/>
        <v>0</v>
      </c>
    </row>
    <row r="32" spans="1:22" ht="55.2" x14ac:dyDescent="0.3">
      <c r="A32" s="4" t="str">
        <f>Questions!$A32</f>
        <v>ITAC-01</v>
      </c>
      <c r="B32" s="4" t="str">
        <f t="shared" si="0"/>
        <v>ITAC</v>
      </c>
      <c r="C32" s="4" t="str">
        <f>VLOOKUP($A32,Questions!$A$3:$L$333,2,0)&amp;""</f>
        <v>Solution Provider Accessibility Contact Name</v>
      </c>
      <c r="D32" s="4" t="str">
        <f>VLOOKUP($A32,Questions!$A$3:$L$333,11,0)&amp;""</f>
        <v>NA</v>
      </c>
      <c r="E32" s="4" t="str">
        <f>VLOOKUP($A32,Questions!$A$3:$L$333,12,0)&amp;""</f>
        <v>Not Scored</v>
      </c>
      <c r="F32" s="4" t="str">
        <f>VLOOKUP($A32,'Institution Evaluation'!$A$56:$K$345,3,0)&amp;""</f>
        <v>Joseph Thibault</v>
      </c>
      <c r="G32" s="4" t="str">
        <f>VLOOKUP($A32,'Institution Evaluation'!$A$56:$K$345,7,0)&amp;""</f>
        <v>Not scored</v>
      </c>
      <c r="H32" s="4" t="str">
        <f>VLOOKUP($A32,'Institution Evaluation'!$A$56:$K$345,8,0)&amp;""</f>
        <v/>
      </c>
      <c r="I32" s="4" t="str">
        <f>VLOOKUP($A32,'Institution Evaluation'!$A$56:$K$345,9,0)&amp;""</f>
        <v/>
      </c>
      <c r="J32" s="4" t="str">
        <f>VLOOKUP($A32,'Institution Evaluation'!$A$56:$K$345,10,0)&amp;""</f>
        <v/>
      </c>
      <c r="K32" s="4">
        <f>IF($I32='Auto Responses'!$J$11,20,IF($I32='Auto Responses'!$J$13,5,10))</f>
        <v>10</v>
      </c>
      <c r="L32" s="107" t="str">
        <f>IF($E32='Auto Responses'!$L$13, 'Auto Responses'!$J$5,IF(AND($D32='Auto Responses'!$J$27,$H32=""),'Auto Responses'!$J$5,IF(AND($D32='Auto Responses'!$J$27,$H32='Auto Responses'!$J$7),1,IF(AND($D32='Auto Responses'!$J$27,$H32='Auto Responses'!$J$8),0,IF(OR(AND($F32=$G32,$H32=""),$H32='Auto Responses'!$J$7),1,0)))))</f>
        <v>N/A</v>
      </c>
      <c r="M32" s="4" t="str">
        <f>VLOOKUP($A32,'Institution Evaluation'!$A$56:$K$345,11,0)&amp;""</f>
        <v>FALSE</v>
      </c>
      <c r="N32" s="4">
        <f>IF($J32='Auto Responses'!$J$11,1,IF(AND($J32="",$I32='Auto Responses'!$J$11),1,0))</f>
        <v>0</v>
      </c>
      <c r="O32" s="107" t="str">
        <f>IF(OR($F$18='Auto Responses'!$J$4,$E32='Auto Responses'!$L$13,$F32='Auto Responses'!$J$5),'Auto Responses'!$J$5,IF($J32="",$K32,IF($J32='Auto Responses'!$J$13,5,IF($J32='Auto Responses'!$J$12,10,IF($J32='Auto Responses'!$J$11,20,0)))))</f>
        <v>N/A</v>
      </c>
      <c r="P32" s="107" t="str">
        <f>IF(OR($O32='Auto Responses'!$J$5,$L32='Auto Responses'!$J$5),'Auto Responses'!$J$5,$O32*$L32)</f>
        <v>N/A</v>
      </c>
      <c r="Q32" s="107">
        <f t="shared" si="1"/>
        <v>0</v>
      </c>
      <c r="R32" s="107">
        <f t="shared" si="5"/>
        <v>0</v>
      </c>
      <c r="S32" s="107">
        <f t="shared" si="2"/>
        <v>0</v>
      </c>
      <c r="T32" s="107">
        <f t="shared" si="3"/>
        <v>0</v>
      </c>
      <c r="U32" s="107">
        <f t="shared" si="6"/>
        <v>2</v>
      </c>
      <c r="V32" s="107">
        <f t="shared" si="4"/>
        <v>0</v>
      </c>
    </row>
    <row r="33" spans="1:22" ht="55.2" x14ac:dyDescent="0.3">
      <c r="A33" s="4" t="str">
        <f>Questions!$A33</f>
        <v>ITAC-02</v>
      </c>
      <c r="B33" s="4" t="str">
        <f t="shared" si="0"/>
        <v>ITAC</v>
      </c>
      <c r="C33" s="4" t="str">
        <f>VLOOKUP($A33,Questions!$A$3:$L$333,2,0)&amp;""</f>
        <v>Solution Provider Accessibility Contact Title</v>
      </c>
      <c r="D33" s="4" t="str">
        <f>VLOOKUP($A33,Questions!$A$3:$L$333,11,0)&amp;""</f>
        <v>NA</v>
      </c>
      <c r="E33" s="4" t="str">
        <f>VLOOKUP($A33,Questions!$A$3:$L$333,12,0)&amp;""</f>
        <v>Not Scored</v>
      </c>
      <c r="F33" s="4" t="str">
        <f>VLOOKUP($A33,'Institution Evaluation'!$A$56:$K$345,3,0)&amp;""</f>
        <v>CEO</v>
      </c>
      <c r="G33" s="4" t="str">
        <f>VLOOKUP($A33,'Institution Evaluation'!$A$56:$K$345,7,0)&amp;""</f>
        <v>Not scored</v>
      </c>
      <c r="H33" s="4" t="str">
        <f>VLOOKUP($A33,'Institution Evaluation'!$A$56:$K$345,8,0)&amp;""</f>
        <v/>
      </c>
      <c r="I33" s="4" t="str">
        <f>VLOOKUP($A33,'Institution Evaluation'!$A$56:$K$345,9,0)&amp;""</f>
        <v/>
      </c>
      <c r="J33" s="4" t="str">
        <f>VLOOKUP($A33,'Institution Evaluation'!$A$56:$K$345,10,0)&amp;""</f>
        <v/>
      </c>
      <c r="K33" s="4">
        <f>IF($I33='Auto Responses'!$J$11,20,IF($I33='Auto Responses'!$J$13,5,10))</f>
        <v>10</v>
      </c>
      <c r="L33" s="107" t="str">
        <f>IF($E33='Auto Responses'!$L$13, 'Auto Responses'!$J$5,IF(AND($D33='Auto Responses'!$J$27,$H33=""),'Auto Responses'!$J$5,IF(AND($D33='Auto Responses'!$J$27,$H33='Auto Responses'!$J$7),1,IF(AND($D33='Auto Responses'!$J$27,$H33='Auto Responses'!$J$8),0,IF(OR(AND($F33=$G33,$H33=""),$H33='Auto Responses'!$J$7),1,0)))))</f>
        <v>N/A</v>
      </c>
      <c r="M33" s="4" t="str">
        <f>VLOOKUP($A33,'Institution Evaluation'!$A$56:$K$345,11,0)&amp;""</f>
        <v>FALSE</v>
      </c>
      <c r="N33" s="4">
        <f>IF($J33='Auto Responses'!$J$11,1,IF(AND($J33="",$I33='Auto Responses'!$J$11),1,0))</f>
        <v>0</v>
      </c>
      <c r="O33" s="107" t="str">
        <f>IF(OR($F$18='Auto Responses'!$J$4,$E33='Auto Responses'!$L$13,$F33='Auto Responses'!$J$5),'Auto Responses'!$J$5,IF($J33="",$K33,IF($J33='Auto Responses'!$J$13,5,IF($J33='Auto Responses'!$J$12,10,IF($J33='Auto Responses'!$J$11,20,0)))))</f>
        <v>N/A</v>
      </c>
      <c r="P33" s="107" t="str">
        <f>IF(OR($O33='Auto Responses'!$J$5,$L33='Auto Responses'!$J$5),'Auto Responses'!$J$5,$O33*$L33)</f>
        <v>N/A</v>
      </c>
      <c r="Q33" s="107">
        <f t="shared" si="1"/>
        <v>0</v>
      </c>
      <c r="R33" s="107">
        <f t="shared" si="5"/>
        <v>0</v>
      </c>
      <c r="S33" s="107">
        <f t="shared" si="2"/>
        <v>0</v>
      </c>
      <c r="T33" s="107">
        <f t="shared" si="3"/>
        <v>0</v>
      </c>
      <c r="U33" s="107">
        <f t="shared" si="6"/>
        <v>2</v>
      </c>
      <c r="V33" s="107">
        <f t="shared" si="4"/>
        <v>0</v>
      </c>
    </row>
    <row r="34" spans="1:22" ht="55.2" x14ac:dyDescent="0.3">
      <c r="A34" s="4" t="str">
        <f>Questions!$A34</f>
        <v>ITAC-03</v>
      </c>
      <c r="B34" s="4" t="str">
        <f t="shared" si="0"/>
        <v>ITAC</v>
      </c>
      <c r="C34" s="4" t="str">
        <f>VLOOKUP($A34,Questions!$A$3:$L$333,2,0)&amp;""</f>
        <v>Solution Provider Accessibility Contact Email</v>
      </c>
      <c r="D34" s="4" t="str">
        <f>VLOOKUP($A34,Questions!$A$3:$L$333,11,0)&amp;""</f>
        <v>NA</v>
      </c>
      <c r="E34" s="4" t="str">
        <f>VLOOKUP($A34,Questions!$A$3:$L$333,12,0)&amp;""</f>
        <v>Not Scored</v>
      </c>
      <c r="F34" s="4" t="str">
        <f>VLOOKUP($A34,'Institution Evaluation'!$A$56:$K$345,3,0)&amp;""</f>
        <v>joe@cursivetechnology.com</v>
      </c>
      <c r="G34" s="4" t="str">
        <f>VLOOKUP($A34,'Institution Evaluation'!$A$56:$K$345,7,0)&amp;""</f>
        <v>Not scored</v>
      </c>
      <c r="H34" s="4" t="str">
        <f>VLOOKUP($A34,'Institution Evaluation'!$A$56:$K$345,8,0)&amp;""</f>
        <v/>
      </c>
      <c r="I34" s="4" t="str">
        <f>VLOOKUP($A34,'Institution Evaluation'!$A$56:$K$345,9,0)&amp;""</f>
        <v/>
      </c>
      <c r="J34" s="4" t="str">
        <f>VLOOKUP($A34,'Institution Evaluation'!$A$56:$K$345,10,0)&amp;""</f>
        <v/>
      </c>
      <c r="K34" s="4">
        <f>IF($I34='Auto Responses'!$J$11,20,IF($I34='Auto Responses'!$J$13,5,10))</f>
        <v>10</v>
      </c>
      <c r="L34" s="107" t="str">
        <f>IF($E34='Auto Responses'!$L$13, 'Auto Responses'!$J$5,IF(AND($D34='Auto Responses'!$J$27,$H34=""),'Auto Responses'!$J$5,IF(AND($D34='Auto Responses'!$J$27,$H34='Auto Responses'!$J$7),1,IF(AND($D34='Auto Responses'!$J$27,$H34='Auto Responses'!$J$8),0,IF(OR(AND($F34=$G34,$H34=""),$H34='Auto Responses'!$J$7),1,0)))))</f>
        <v>N/A</v>
      </c>
      <c r="M34" s="4" t="str">
        <f>VLOOKUP($A34,'Institution Evaluation'!$A$56:$K$345,11,0)&amp;""</f>
        <v>FALSE</v>
      </c>
      <c r="N34" s="4">
        <f>IF($J34='Auto Responses'!$J$11,1,IF(AND($J34="",$I34='Auto Responses'!$J$11),1,0))</f>
        <v>0</v>
      </c>
      <c r="O34" s="107" t="str">
        <f>IF(OR($F$18='Auto Responses'!$J$4,$E34='Auto Responses'!$L$13,$F34='Auto Responses'!$J$5),'Auto Responses'!$J$5,IF($J34="",$K34,IF($J34='Auto Responses'!$J$13,5,IF($J34='Auto Responses'!$J$12,10,IF($J34='Auto Responses'!$J$11,20,0)))))</f>
        <v>N/A</v>
      </c>
      <c r="P34" s="107" t="str">
        <f>IF(OR($O34='Auto Responses'!$J$5,$L34='Auto Responses'!$J$5),'Auto Responses'!$J$5,$O34*$L34)</f>
        <v>N/A</v>
      </c>
      <c r="Q34" s="107">
        <f t="shared" si="1"/>
        <v>0</v>
      </c>
      <c r="R34" s="107">
        <f t="shared" si="5"/>
        <v>0</v>
      </c>
      <c r="S34" s="107">
        <f t="shared" si="2"/>
        <v>0</v>
      </c>
      <c r="T34" s="107">
        <f t="shared" si="3"/>
        <v>0</v>
      </c>
      <c r="U34" s="107">
        <f t="shared" si="6"/>
        <v>2</v>
      </c>
      <c r="V34" s="107">
        <f t="shared" si="4"/>
        <v>0</v>
      </c>
    </row>
    <row r="35" spans="1:22" ht="55.2" x14ac:dyDescent="0.3">
      <c r="A35" s="4" t="str">
        <f>Questions!$A35</f>
        <v>ITAC-04</v>
      </c>
      <c r="B35" s="4" t="str">
        <f t="shared" si="0"/>
        <v>ITAC</v>
      </c>
      <c r="C35" s="4" t="str">
        <f>VLOOKUP($A35,Questions!$A$3:$L$333,2,0)&amp;""</f>
        <v>Solution Provider Accessibility Contact Phone Number</v>
      </c>
      <c r="D35" s="4" t="str">
        <f>VLOOKUP($A35,Questions!$A$3:$L$333,11,0)&amp;""</f>
        <v>NA</v>
      </c>
      <c r="E35" s="4" t="str">
        <f>VLOOKUP($A35,Questions!$A$3:$L$333,12,0)&amp;""</f>
        <v>Not Scored</v>
      </c>
      <c r="F35" s="4" t="str">
        <f>VLOOKUP($A35,'Institution Evaluation'!$A$56:$K$345,3,0)&amp;""</f>
        <v>410-231-3323</v>
      </c>
      <c r="G35" s="4" t="str">
        <f>VLOOKUP($A35,'Institution Evaluation'!$A$56:$K$345,7,0)&amp;""</f>
        <v>Not scored</v>
      </c>
      <c r="H35" s="4" t="str">
        <f>VLOOKUP($A35,'Institution Evaluation'!$A$56:$K$345,8,0)&amp;""</f>
        <v/>
      </c>
      <c r="I35" s="4" t="str">
        <f>VLOOKUP($A35,'Institution Evaluation'!$A$56:$K$345,9,0)&amp;""</f>
        <v/>
      </c>
      <c r="J35" s="4" t="str">
        <f>VLOOKUP($A35,'Institution Evaluation'!$A$56:$K$345,10,0)&amp;""</f>
        <v/>
      </c>
      <c r="K35" s="4">
        <f>IF($I35='Auto Responses'!$J$11,20,IF($I35='Auto Responses'!$J$13,5,10))</f>
        <v>10</v>
      </c>
      <c r="L35" s="107" t="str">
        <f>IF($E35='Auto Responses'!$L$13, 'Auto Responses'!$J$5,IF(AND($D35='Auto Responses'!$J$27,$H35=""),'Auto Responses'!$J$5,IF(AND($D35='Auto Responses'!$J$27,$H35='Auto Responses'!$J$7),1,IF(AND($D35='Auto Responses'!$J$27,$H35='Auto Responses'!$J$8),0,IF(OR(AND($F35=$G35,$H35=""),$H35='Auto Responses'!$J$7),1,0)))))</f>
        <v>N/A</v>
      </c>
      <c r="M35" s="4" t="str">
        <f>VLOOKUP($A35,'Institution Evaluation'!$A$56:$K$345,11,0)&amp;""</f>
        <v>FALSE</v>
      </c>
      <c r="N35" s="4">
        <f>IF($J35='Auto Responses'!$J$11,1,IF(AND($J35="",$I35='Auto Responses'!$J$11),1,0))</f>
        <v>0</v>
      </c>
      <c r="O35" s="107" t="str">
        <f>IF(OR($F$18='Auto Responses'!$J$4,$E35='Auto Responses'!$L$13,$F35='Auto Responses'!$J$5),'Auto Responses'!$J$5,IF($J35="",$K35,IF($J35='Auto Responses'!$J$13,5,IF($J35='Auto Responses'!$J$12,10,IF($J35='Auto Responses'!$J$11,20,0)))))</f>
        <v>N/A</v>
      </c>
      <c r="P35" s="107" t="str">
        <f>IF(OR($O35='Auto Responses'!$J$5,$L35='Auto Responses'!$J$5),'Auto Responses'!$J$5,$O35*$L35)</f>
        <v>N/A</v>
      </c>
      <c r="Q35" s="107">
        <f t="shared" si="1"/>
        <v>0</v>
      </c>
      <c r="R35" s="107">
        <f t="shared" si="5"/>
        <v>0</v>
      </c>
      <c r="S35" s="107">
        <f t="shared" si="2"/>
        <v>0</v>
      </c>
      <c r="T35" s="107">
        <f t="shared" si="3"/>
        <v>0</v>
      </c>
      <c r="U35" s="107">
        <f t="shared" si="6"/>
        <v>2</v>
      </c>
      <c r="V35" s="107">
        <f t="shared" si="4"/>
        <v>0</v>
      </c>
    </row>
    <row r="36" spans="1:22" ht="55.2" x14ac:dyDescent="0.3">
      <c r="A36" s="4" t="str">
        <f>Questions!$A36</f>
        <v>ITAC-05</v>
      </c>
      <c r="B36" s="4" t="str">
        <f t="shared" si="0"/>
        <v>ITAC</v>
      </c>
      <c r="C36" s="4" t="str">
        <f>VLOOKUP($A36,Questions!$A$3:$L$333,2,0)&amp;""</f>
        <v>Web Link to Accessibility Statement or VPAT</v>
      </c>
      <c r="D36" s="4" t="str">
        <f>VLOOKUP($A36,Questions!$A$3:$L$333,11,0)&amp;""</f>
        <v/>
      </c>
      <c r="E36" s="4" t="str">
        <f>VLOOKUP($A36,Questions!$A$3:$L$333,12,0)&amp;""</f>
        <v>Not Scored</v>
      </c>
      <c r="F36" s="4" t="str">
        <f>VLOOKUP($A36,'Institution Evaluation'!$A$56:$K$345,3,0)&amp;""</f>
        <v>https://www.cursivetechnology.com/accessibility</v>
      </c>
      <c r="G36" s="4" t="str">
        <f>VLOOKUP($A36,'Institution Evaluation'!$A$56:$K$345,7,0)&amp;""</f>
        <v>Not scored</v>
      </c>
      <c r="H36" s="4" t="str">
        <f>VLOOKUP($A36,'Institution Evaluation'!$A$56:$K$345,8,0)&amp;""</f>
        <v/>
      </c>
      <c r="I36" s="4" t="str">
        <f>VLOOKUP($A36,'Institution Evaluation'!$A$56:$K$345,9,0)&amp;""</f>
        <v/>
      </c>
      <c r="J36" s="4" t="str">
        <f>VLOOKUP($A36,'Institution Evaluation'!$A$56:$K$345,10,0)&amp;""</f>
        <v/>
      </c>
      <c r="K36" s="4">
        <f>IF($I36='Auto Responses'!$J$11,20,IF($I36='Auto Responses'!$J$13,5,10))</f>
        <v>10</v>
      </c>
      <c r="L36" s="107" t="str">
        <f>IF($E36='Auto Responses'!$L$13, 'Auto Responses'!$J$5,IF(AND($D36='Auto Responses'!$J$27,$H36=""),'Auto Responses'!$J$5,IF(AND($D36='Auto Responses'!$J$27,$H36='Auto Responses'!$J$7),1,IF(AND($D36='Auto Responses'!$J$27,$H36='Auto Responses'!$J$8),0,IF(OR(AND($F36=$G36,$H36=""),$H36='Auto Responses'!$J$7),1,0)))))</f>
        <v>N/A</v>
      </c>
      <c r="M36" s="4" t="str">
        <f>VLOOKUP($A36,'Institution Evaluation'!$A$56:$K$345,11,0)&amp;""</f>
        <v>FALSE</v>
      </c>
      <c r="N36" s="4">
        <f>IF($J36='Auto Responses'!$J$11,1,IF(AND($J36="",$I36='Auto Responses'!$J$11),1,0))</f>
        <v>0</v>
      </c>
      <c r="O36" s="107" t="str">
        <f>IF(OR($F$18='Auto Responses'!$J$4,$E36='Auto Responses'!$L$13,$F36='Auto Responses'!$J$5),'Auto Responses'!$J$5,IF($J36="",$K36,IF($J36='Auto Responses'!$J$13,5,IF($J36='Auto Responses'!$J$12,10,IF($J36='Auto Responses'!$J$11,20,0)))))</f>
        <v>N/A</v>
      </c>
      <c r="P36" s="107" t="str">
        <f>IF(OR($O36='Auto Responses'!$J$5,$L36='Auto Responses'!$J$5),'Auto Responses'!$J$5,$O36*$L36)</f>
        <v>N/A</v>
      </c>
      <c r="Q36" s="107">
        <f t="shared" si="1"/>
        <v>0</v>
      </c>
      <c r="R36" s="107">
        <f t="shared" si="5"/>
        <v>0</v>
      </c>
      <c r="S36" s="107">
        <f t="shared" si="2"/>
        <v>0</v>
      </c>
      <c r="T36" s="107">
        <f t="shared" si="3"/>
        <v>0</v>
      </c>
      <c r="U36" s="107">
        <f t="shared" si="6"/>
        <v>2</v>
      </c>
      <c r="V36" s="107">
        <f t="shared" si="4"/>
        <v>0</v>
      </c>
    </row>
    <row r="37" spans="1:22" ht="55.2" x14ac:dyDescent="0.3">
      <c r="A37" s="4" t="str">
        <f>Questions!$A37</f>
        <v>ITAC-06</v>
      </c>
      <c r="B37" s="4" t="str">
        <f t="shared" si="0"/>
        <v>ITAC</v>
      </c>
      <c r="C37" s="4" t="str">
        <f>VLOOKUP($A37,Questions!$A$3:$L$333,2,0)&amp;""</f>
        <v>Has a VPAT or ACR been created or updated for the solution and version under consideration within the past 12 months?*</v>
      </c>
      <c r="D37" s="4" t="str">
        <f>VLOOKUP($A37,Questions!$A$3:$L$333,11,0)&amp;""</f>
        <v/>
      </c>
      <c r="E37" s="4" t="str">
        <f>VLOOKUP($A37,Questions!$A$3:$L$333,12,0)&amp;""</f>
        <v>IT Accessibility</v>
      </c>
      <c r="F37" s="4" t="str">
        <f>VLOOKUP($A37,'Institution Evaluation'!$A$56:$K$345,3,0)&amp;""</f>
        <v>Yes</v>
      </c>
      <c r="G37" s="4" t="str">
        <f>VLOOKUP($A37,'Institution Evaluation'!$A$56:$K$345,7,0)&amp;""</f>
        <v>Yes</v>
      </c>
      <c r="H37" s="4" t="str">
        <f>VLOOKUP($A37,'Institution Evaluation'!$A$56:$K$345,8,0)&amp;""</f>
        <v/>
      </c>
      <c r="I37" s="4" t="str">
        <f>VLOOKUP($A37,'Institution Evaluation'!$A$56:$K$345,9,0)&amp;""</f>
        <v>Critical Importance</v>
      </c>
      <c r="J37" s="4" t="str">
        <f>VLOOKUP($A37,'Institution Evaluation'!$A$56:$K$345,10,0)&amp;""</f>
        <v/>
      </c>
      <c r="K37" s="4">
        <f>IF($I37='Auto Responses'!$J$11,20,IF($I37='Auto Responses'!$J$13,5,10))</f>
        <v>20</v>
      </c>
      <c r="L37" s="107">
        <f>IF($E37='Auto Responses'!$L$13, 'Auto Responses'!$J$5,IF(AND($D37='Auto Responses'!$J$27,$H37=""),'Auto Responses'!$J$5,IF(AND($D37='Auto Responses'!$J$27,$H37='Auto Responses'!$J$7),1,IF(AND($D37='Auto Responses'!$J$27,$H37='Auto Responses'!$J$8),0,IF(OR(AND($F37=$G37,$H37=""),$H37='Auto Responses'!$J$7),1,0)))))</f>
        <v>1</v>
      </c>
      <c r="M37" s="4" t="str">
        <f>VLOOKUP($A37,'Institution Evaluation'!$A$56:$K$345,11,0)&amp;""</f>
        <v>FALSE</v>
      </c>
      <c r="N37" s="4">
        <f>IF($J37='Auto Responses'!$J$11,1,IF(AND($J37="",$I37='Auto Responses'!$J$11),1,0))</f>
        <v>1</v>
      </c>
      <c r="O37" s="107">
        <f>IF(OR($F$18='Auto Responses'!$J$4,$E37='Auto Responses'!$L$13,$F37='Auto Responses'!$J$5),'Auto Responses'!$J$5,IF($J37="",$K37,IF($J37='Auto Responses'!$J$13,5,IF($J37='Auto Responses'!$J$12,10,IF($J37='Auto Responses'!$J$11,20,0)))))</f>
        <v>20</v>
      </c>
      <c r="P37" s="107">
        <f>IF(OR($O37='Auto Responses'!$J$5,$L37='Auto Responses'!$J$5),'Auto Responses'!$J$5,$O37*$L37)</f>
        <v>20</v>
      </c>
      <c r="Q37" s="107">
        <f t="shared" si="1"/>
        <v>0</v>
      </c>
      <c r="R37" s="107">
        <f t="shared" si="5"/>
        <v>0</v>
      </c>
      <c r="S37" s="107">
        <f t="shared" si="2"/>
        <v>0</v>
      </c>
      <c r="T37" s="107">
        <f t="shared" si="3"/>
        <v>1</v>
      </c>
      <c r="U37" s="107">
        <f t="shared" si="6"/>
        <v>3</v>
      </c>
      <c r="V37" s="107">
        <f t="shared" si="4"/>
        <v>3</v>
      </c>
    </row>
    <row r="38" spans="1:22" ht="55.2" x14ac:dyDescent="0.3">
      <c r="A38" s="4" t="str">
        <f>Questions!$A38</f>
        <v>ITAC-07</v>
      </c>
      <c r="B38" s="4" t="str">
        <f t="shared" si="0"/>
        <v>ITAC</v>
      </c>
      <c r="C38" s="4" t="str">
        <f>VLOOKUP($A38,Questions!$A$3:$L$333,2,0)&amp;""</f>
        <v>Will your company agree to meet your stated accessibility standard or WCAG 2.1 AA as part of your contractual agreement for the solution?*</v>
      </c>
      <c r="D38" s="4" t="str">
        <f>VLOOKUP($A38,Questions!$A$3:$L$333,11,0)&amp;""</f>
        <v/>
      </c>
      <c r="E38" s="4" t="str">
        <f>VLOOKUP($A38,Questions!$A$3:$L$333,12,0)&amp;""</f>
        <v>IT Accessibility</v>
      </c>
      <c r="F38" s="4" t="str">
        <f>VLOOKUP($A38,'Institution Evaluation'!$A$56:$K$345,3,0)&amp;""</f>
        <v>Yes</v>
      </c>
      <c r="G38" s="4" t="str">
        <f>VLOOKUP($A38,'Institution Evaluation'!$A$56:$K$345,7,0)&amp;""</f>
        <v>Yes</v>
      </c>
      <c r="H38" s="4" t="str">
        <f>VLOOKUP($A38,'Institution Evaluation'!$A$56:$K$345,8,0)&amp;""</f>
        <v/>
      </c>
      <c r="I38" s="4" t="str">
        <f>VLOOKUP($A38,'Institution Evaluation'!$A$56:$K$345,9,0)&amp;""</f>
        <v>Critical Importance</v>
      </c>
      <c r="J38" s="4" t="str">
        <f>VLOOKUP($A38,'Institution Evaluation'!$A$56:$K$345,10,0)&amp;""</f>
        <v/>
      </c>
      <c r="K38" s="4">
        <f>IF($I38='Auto Responses'!$J$11,20,IF($I38='Auto Responses'!$J$13,5,10))</f>
        <v>20</v>
      </c>
      <c r="L38" s="107">
        <f>IF($E38='Auto Responses'!$L$13, 'Auto Responses'!$J$5,IF(AND($D38='Auto Responses'!$J$27,$H38=""),'Auto Responses'!$J$5,IF(AND($D38='Auto Responses'!$J$27,$H38='Auto Responses'!$J$7),1,IF(AND($D38='Auto Responses'!$J$27,$H38='Auto Responses'!$J$8),0,IF(OR(AND($F38=$G38,$H38=""),$H38='Auto Responses'!$J$7),1,0)))))</f>
        <v>1</v>
      </c>
      <c r="M38" s="4" t="str">
        <f>VLOOKUP($A38,'Institution Evaluation'!$A$56:$K$345,11,0)&amp;""</f>
        <v>FALSE</v>
      </c>
      <c r="N38" s="4">
        <f>IF($J38='Auto Responses'!$J$11,1,IF(AND($J38="",$I38='Auto Responses'!$J$11),1,0))</f>
        <v>1</v>
      </c>
      <c r="O38" s="107">
        <f>IF(OR($F$18='Auto Responses'!$J$4,$E38='Auto Responses'!$L$13,$F38='Auto Responses'!$J$5),'Auto Responses'!$J$5,IF($J38="",$K38,IF($J38='Auto Responses'!$J$13,5,IF($J38='Auto Responses'!$J$12,10,IF($J38='Auto Responses'!$J$11,20,0)))))</f>
        <v>20</v>
      </c>
      <c r="P38" s="107">
        <f>IF(OR($O38='Auto Responses'!$J$5,$L38='Auto Responses'!$J$5),'Auto Responses'!$J$5,$O38*$L38)</f>
        <v>20</v>
      </c>
      <c r="Q38" s="107">
        <f t="shared" si="1"/>
        <v>0</v>
      </c>
      <c r="R38" s="107">
        <f t="shared" si="5"/>
        <v>0</v>
      </c>
      <c r="S38" s="107">
        <f t="shared" si="2"/>
        <v>0</v>
      </c>
      <c r="T38" s="107">
        <f t="shared" si="3"/>
        <v>1</v>
      </c>
      <c r="U38" s="107">
        <f t="shared" si="6"/>
        <v>4</v>
      </c>
      <c r="V38" s="107">
        <f t="shared" si="4"/>
        <v>4</v>
      </c>
    </row>
    <row r="39" spans="1:22" ht="55.2" x14ac:dyDescent="0.3">
      <c r="A39" s="4" t="str">
        <f>Questions!$A39</f>
        <v>ITAC-08</v>
      </c>
      <c r="B39" s="4" t="str">
        <f t="shared" si="0"/>
        <v>ITAC</v>
      </c>
      <c r="C39" s="4" t="str">
        <f>VLOOKUP($A39,Questions!$A$3:$L$333,2,0)&amp;""</f>
        <v>Does the solution substantially conform to WCAG 2.1 AA?*</v>
      </c>
      <c r="D39" s="4" t="str">
        <f>VLOOKUP($A39,Questions!$A$3:$L$333,11,0)&amp;""</f>
        <v/>
      </c>
      <c r="E39" s="4" t="str">
        <f>VLOOKUP($A39,Questions!$A$3:$L$333,12,0)&amp;""</f>
        <v>IT Accessibility</v>
      </c>
      <c r="F39" s="4" t="str">
        <f>VLOOKUP($A39,'Institution Evaluation'!$A$56:$K$345,3,0)&amp;""</f>
        <v>Yes</v>
      </c>
      <c r="G39" s="4" t="str">
        <f>VLOOKUP($A39,'Institution Evaluation'!$A$56:$K$345,7,0)&amp;""</f>
        <v>Yes</v>
      </c>
      <c r="H39" s="4" t="str">
        <f>VLOOKUP($A39,'Institution Evaluation'!$A$56:$K$345,8,0)&amp;""</f>
        <v/>
      </c>
      <c r="I39" s="4" t="str">
        <f>VLOOKUP($A39,'Institution Evaluation'!$A$56:$K$345,9,0)&amp;""</f>
        <v>Critical Importance</v>
      </c>
      <c r="J39" s="4" t="str">
        <f>VLOOKUP($A39,'Institution Evaluation'!$A$56:$K$345,10,0)&amp;""</f>
        <v/>
      </c>
      <c r="K39" s="4">
        <f>IF($I39='Auto Responses'!$J$11,20,IF($I39='Auto Responses'!$J$13,5,10))</f>
        <v>20</v>
      </c>
      <c r="L39" s="107">
        <f>IF($E39='Auto Responses'!$L$13, 'Auto Responses'!$J$5,IF(AND($D39='Auto Responses'!$J$27,$H39=""),'Auto Responses'!$J$5,IF(AND($D39='Auto Responses'!$J$27,$H39='Auto Responses'!$J$7),1,IF(AND($D39='Auto Responses'!$J$27,$H39='Auto Responses'!$J$8),0,IF(OR(AND($F39=$G39,$H39=""),$H39='Auto Responses'!$J$7),1,0)))))</f>
        <v>1</v>
      </c>
      <c r="M39" s="4" t="str">
        <f>VLOOKUP($A39,'Institution Evaluation'!$A$56:$K$345,11,0)&amp;""</f>
        <v>FALSE</v>
      </c>
      <c r="N39" s="4">
        <f>IF($J39='Auto Responses'!$J$11,1,IF(AND($J39="",$I39='Auto Responses'!$J$11),1,0))</f>
        <v>1</v>
      </c>
      <c r="O39" s="107">
        <f>IF(OR($F$18='Auto Responses'!$J$4,$E39='Auto Responses'!$L$13,$F39='Auto Responses'!$J$5),'Auto Responses'!$J$5,IF($J39="",$K39,IF($J39='Auto Responses'!$J$13,5,IF($J39='Auto Responses'!$J$12,10,IF($J39='Auto Responses'!$J$11,20,0)))))</f>
        <v>20</v>
      </c>
      <c r="P39" s="107">
        <f>IF(OR($O39='Auto Responses'!$J$5,$L39='Auto Responses'!$J$5),'Auto Responses'!$J$5,$O39*$L39)</f>
        <v>20</v>
      </c>
      <c r="Q39" s="107">
        <f t="shared" si="1"/>
        <v>0</v>
      </c>
      <c r="R39" s="107">
        <f t="shared" si="5"/>
        <v>0</v>
      </c>
      <c r="S39" s="107">
        <f t="shared" si="2"/>
        <v>0</v>
      </c>
      <c r="T39" s="107">
        <f t="shared" si="3"/>
        <v>1</v>
      </c>
      <c r="U39" s="107">
        <f t="shared" si="6"/>
        <v>5</v>
      </c>
      <c r="V39" s="107">
        <f t="shared" si="4"/>
        <v>5</v>
      </c>
    </row>
    <row r="40" spans="1:22" ht="55.2" x14ac:dyDescent="0.3">
      <c r="A40" s="4" t="str">
        <f>Questions!$A40</f>
        <v>ITAC-09</v>
      </c>
      <c r="B40" s="4" t="str">
        <f t="shared" si="0"/>
        <v>ITAC</v>
      </c>
      <c r="C40" s="4" t="str">
        <f>VLOOKUP($A40,Questions!$A$3:$L$333,2,0)&amp;""</f>
        <v>Do you have a documented and implemented process for reporting and tracking accessibility issues?*</v>
      </c>
      <c r="D40" s="4" t="str">
        <f>VLOOKUP($A40,Questions!$A$3:$L$333,11,0)&amp;""</f>
        <v/>
      </c>
      <c r="E40" s="4" t="str">
        <f>VLOOKUP($A40,Questions!$A$3:$L$333,12,0)&amp;""</f>
        <v>IT Accessibility</v>
      </c>
      <c r="F40" s="4" t="str">
        <f>VLOOKUP($A40,'Institution Evaluation'!$A$56:$K$345,3,0)&amp;""</f>
        <v>Yes</v>
      </c>
      <c r="G40" s="4" t="str">
        <f>VLOOKUP($A40,'Institution Evaluation'!$A$56:$K$345,7,0)&amp;""</f>
        <v>Yes</v>
      </c>
      <c r="H40" s="4" t="str">
        <f>VLOOKUP($A40,'Institution Evaluation'!$A$56:$K$345,8,0)&amp;""</f>
        <v/>
      </c>
      <c r="I40" s="4" t="str">
        <f>VLOOKUP($A40,'Institution Evaluation'!$A$56:$K$345,9,0)&amp;""</f>
        <v>Critical Importance</v>
      </c>
      <c r="J40" s="4" t="str">
        <f>VLOOKUP($A40,'Institution Evaluation'!$A$56:$K$345,10,0)&amp;""</f>
        <v/>
      </c>
      <c r="K40" s="4">
        <f>IF($I40='Auto Responses'!$J$11,20,IF($I40='Auto Responses'!$J$13,5,10))</f>
        <v>20</v>
      </c>
      <c r="L40" s="107">
        <f>IF($E40='Auto Responses'!$L$13, 'Auto Responses'!$J$5,IF(AND($D40='Auto Responses'!$J$27,$H40=""),'Auto Responses'!$J$5,IF(AND($D40='Auto Responses'!$J$27,$H40='Auto Responses'!$J$7),1,IF(AND($D40='Auto Responses'!$J$27,$H40='Auto Responses'!$J$8),0,IF(OR(AND($F40=$G40,$H40=""),$H40='Auto Responses'!$J$7),1,0)))))</f>
        <v>1</v>
      </c>
      <c r="M40" s="4" t="str">
        <f>VLOOKUP($A40,'Institution Evaluation'!$A$56:$K$345,11,0)&amp;""</f>
        <v>FALSE</v>
      </c>
      <c r="N40" s="4">
        <f>IF($J40='Auto Responses'!$J$11,1,IF(AND($J40="",$I40='Auto Responses'!$J$11),1,0))</f>
        <v>1</v>
      </c>
      <c r="O40" s="107">
        <f>IF(OR($F$18='Auto Responses'!$J$4,$E40='Auto Responses'!$L$13,$F40='Auto Responses'!$J$5),'Auto Responses'!$J$5,IF($J40="",$K40,IF($J40='Auto Responses'!$J$13,5,IF($J40='Auto Responses'!$J$12,10,IF($J40='Auto Responses'!$J$11,20,0)))))</f>
        <v>20</v>
      </c>
      <c r="P40" s="107">
        <f>IF(OR($O40='Auto Responses'!$J$5,$L40='Auto Responses'!$J$5),'Auto Responses'!$J$5,$O40*$L40)</f>
        <v>20</v>
      </c>
      <c r="Q40" s="107">
        <f t="shared" si="1"/>
        <v>0</v>
      </c>
      <c r="R40" s="107">
        <f t="shared" si="5"/>
        <v>0</v>
      </c>
      <c r="S40" s="107">
        <f t="shared" si="2"/>
        <v>0</v>
      </c>
      <c r="T40" s="107">
        <f t="shared" si="3"/>
        <v>1</v>
      </c>
      <c r="U40" s="107">
        <f t="shared" si="6"/>
        <v>6</v>
      </c>
      <c r="V40" s="107">
        <f t="shared" si="4"/>
        <v>6</v>
      </c>
    </row>
    <row r="41" spans="1:22" ht="55.2" x14ac:dyDescent="0.3">
      <c r="A41" s="4" t="str">
        <f>Questions!$A41</f>
        <v>ITAC-10</v>
      </c>
      <c r="B41" s="4" t="str">
        <f t="shared" si="0"/>
        <v>ITAC</v>
      </c>
      <c r="C41" s="4" t="str">
        <f>VLOOKUP($A41,Questions!$A$3:$L$333,2,0)&amp;""</f>
        <v>Do you have documentation to support the accessibility features of your solution?</v>
      </c>
      <c r="D41" s="4" t="str">
        <f>VLOOKUP($A41,Questions!$A$3:$L$333,11,0)&amp;""</f>
        <v/>
      </c>
      <c r="E41" s="4" t="str">
        <f>VLOOKUP($A41,Questions!$A$3:$L$333,12,0)&amp;""</f>
        <v>IT Accessibility</v>
      </c>
      <c r="F41" s="4" t="str">
        <f>VLOOKUP($A41,'Institution Evaluation'!$A$56:$K$345,3,0)&amp;""</f>
        <v>Yes</v>
      </c>
      <c r="G41" s="4" t="str">
        <f>VLOOKUP($A41,'Institution Evaluation'!$A$56:$K$345,7,0)&amp;""</f>
        <v>Yes</v>
      </c>
      <c r="H41" s="4" t="str">
        <f>VLOOKUP($A41,'Institution Evaluation'!$A$56:$K$345,8,0)&amp;""</f>
        <v/>
      </c>
      <c r="I41" s="4" t="str">
        <f>VLOOKUP($A41,'Institution Evaluation'!$A$56:$K$345,9,0)&amp;""</f>
        <v>Standard Importance</v>
      </c>
      <c r="J41" s="4" t="str">
        <f>VLOOKUP($A41,'Institution Evaluation'!$A$56:$K$345,10,0)&amp;""</f>
        <v/>
      </c>
      <c r="K41" s="4">
        <f>IF($I41='Auto Responses'!$J$11,20,IF($I41='Auto Responses'!$J$13,5,10))</f>
        <v>10</v>
      </c>
      <c r="L41" s="107">
        <f>IF($E41='Auto Responses'!$L$13, 'Auto Responses'!$J$5,IF(AND($D41='Auto Responses'!$J$27,$H41=""),'Auto Responses'!$J$5,IF(AND($D41='Auto Responses'!$J$27,$H41='Auto Responses'!$J$7),1,IF(AND($D41='Auto Responses'!$J$27,$H41='Auto Responses'!$J$8),0,IF(OR(AND($F41=$G41,$H41=""),$H41='Auto Responses'!$J$7),1,0)))))</f>
        <v>1</v>
      </c>
      <c r="M41" s="4" t="str">
        <f>VLOOKUP($A41,'Institution Evaluation'!$A$56:$K$345,11,0)&amp;""</f>
        <v>FALSE</v>
      </c>
      <c r="N41" s="4">
        <f>IF($J41='Auto Responses'!$J$11,1,IF(AND($J41="",$I41='Auto Responses'!$J$11),1,0))</f>
        <v>0</v>
      </c>
      <c r="O41" s="107">
        <f>IF(OR($F$18='Auto Responses'!$J$4,$E41='Auto Responses'!$L$13,$F41='Auto Responses'!$J$5),'Auto Responses'!$J$5,IF($J41="",$K41,IF($J41='Auto Responses'!$J$13,5,IF($J41='Auto Responses'!$J$12,10,IF($J41='Auto Responses'!$J$11,20,0)))))</f>
        <v>10</v>
      </c>
      <c r="P41" s="107">
        <f>IF(OR($O41='Auto Responses'!$J$5,$L41='Auto Responses'!$J$5),'Auto Responses'!$J$5,$O41*$L41)</f>
        <v>10</v>
      </c>
      <c r="Q41" s="107">
        <f t="shared" si="1"/>
        <v>0</v>
      </c>
      <c r="R41" s="107">
        <f t="shared" si="5"/>
        <v>0</v>
      </c>
      <c r="S41" s="107">
        <f t="shared" si="2"/>
        <v>0</v>
      </c>
      <c r="T41" s="107">
        <f t="shared" si="3"/>
        <v>0</v>
      </c>
      <c r="U41" s="107">
        <f t="shared" si="6"/>
        <v>6</v>
      </c>
      <c r="V41" s="107">
        <f t="shared" si="4"/>
        <v>0</v>
      </c>
    </row>
    <row r="42" spans="1:22" ht="55.2" x14ac:dyDescent="0.3">
      <c r="A42" s="4" t="str">
        <f>Questions!$A42</f>
        <v>ITAC-11</v>
      </c>
      <c r="B42" s="4" t="str">
        <f t="shared" si="0"/>
        <v>ITAC</v>
      </c>
      <c r="C42" s="4" t="str">
        <f>VLOOKUP($A42,Questions!$A$3:$L$333,2,0)&amp;""</f>
        <v>Has a third-party expert conducted an audit of the most recent version of your solution?</v>
      </c>
      <c r="D42" s="4"/>
      <c r="E42" s="4" t="str">
        <f>VLOOKUP($A42,Questions!$A$3:$L$333,12,0)&amp;""</f>
        <v>IT Accessibility</v>
      </c>
      <c r="F42" s="4" t="str">
        <f>VLOOKUP($A42,'Institution Evaluation'!$A$56:$K$345,3,0)&amp;""</f>
        <v>Yes</v>
      </c>
      <c r="G42" s="4" t="str">
        <f>VLOOKUP($A42,'Institution Evaluation'!$A$56:$K$345,7,0)&amp;""</f>
        <v>Yes</v>
      </c>
      <c r="H42" s="4" t="str">
        <f>VLOOKUP($A42,'Institution Evaluation'!$A$56:$K$345,8,0)&amp;""</f>
        <v/>
      </c>
      <c r="I42" s="4" t="str">
        <f>VLOOKUP($A42,'Institution Evaluation'!$A$56:$K$345,9,0)&amp;""</f>
        <v>Standard Importance</v>
      </c>
      <c r="J42" s="4" t="str">
        <f>VLOOKUP($A42,'Institution Evaluation'!$A$56:$K$345,10,0)&amp;""</f>
        <v/>
      </c>
      <c r="K42" s="4">
        <f>IF($I42='Auto Responses'!$J$11,20,IF($I42='Auto Responses'!$J$13,5,10))</f>
        <v>10</v>
      </c>
      <c r="L42" s="107">
        <f>IF($E42='Auto Responses'!$L$13, 'Auto Responses'!$J$5,IF(AND($D42='Auto Responses'!$J$27,$H42=""),'Auto Responses'!$J$5,IF(AND($D42='Auto Responses'!$J$27,$H42='Auto Responses'!$J$7),1,IF(AND($D42='Auto Responses'!$J$27,$H42='Auto Responses'!$J$8),0,IF(OR(AND($F42=$G42,$H42=""),$H42='Auto Responses'!$J$7),1,0)))))</f>
        <v>1</v>
      </c>
      <c r="M42" s="4" t="str">
        <f>VLOOKUP($A42,'Institution Evaluation'!$A$56:$K$345,11,0)&amp;""</f>
        <v>FALSE</v>
      </c>
      <c r="N42" s="4">
        <f>IF($J42='Auto Responses'!$J$11,1,IF(AND($J42="",$I42='Auto Responses'!$J$11),1,0))</f>
        <v>0</v>
      </c>
      <c r="O42" s="107">
        <f>IF(OR($F$18='Auto Responses'!$J$4,$E42='Auto Responses'!$L$13,$F42='Auto Responses'!$J$5),'Auto Responses'!$J$5,IF($J42="",$K42,IF($J42='Auto Responses'!$J$13,5,IF($J42='Auto Responses'!$J$12,10,IF($J42='Auto Responses'!$J$11,20,0)))))</f>
        <v>10</v>
      </c>
      <c r="P42" s="107">
        <f>IF(OR($O42='Auto Responses'!$J$5,$L42='Auto Responses'!$J$5),'Auto Responses'!$J$5,$O42*$L42)</f>
        <v>10</v>
      </c>
      <c r="Q42" s="107">
        <f t="shared" si="1"/>
        <v>0</v>
      </c>
      <c r="R42" s="107">
        <f t="shared" si="5"/>
        <v>0</v>
      </c>
      <c r="S42" s="107">
        <f t="shared" si="2"/>
        <v>0</v>
      </c>
      <c r="T42" s="107">
        <f t="shared" si="3"/>
        <v>0</v>
      </c>
      <c r="U42" s="107">
        <f t="shared" si="6"/>
        <v>6</v>
      </c>
      <c r="V42" s="107">
        <f t="shared" si="4"/>
        <v>0</v>
      </c>
    </row>
    <row r="43" spans="1:22" ht="55.2" x14ac:dyDescent="0.3">
      <c r="A43" s="4" t="str">
        <f>Questions!$A43</f>
        <v>ITAC-12</v>
      </c>
      <c r="B43" s="4" t="str">
        <f t="shared" si="0"/>
        <v>ITAC</v>
      </c>
      <c r="C43" s="4" t="str">
        <f>VLOOKUP($A43,Questions!$A$3:$L$333,2,0)&amp;""</f>
        <v>Do you have a documented and implemented process for verifying accessibility conformance?</v>
      </c>
      <c r="D43" s="4" t="str">
        <f>VLOOKUP($A43,Questions!$A$3:$L$333,11,0)&amp;""</f>
        <v/>
      </c>
      <c r="E43" s="4" t="str">
        <f>VLOOKUP($A43,Questions!$A$3:$L$333,12,0)&amp;""</f>
        <v>IT Accessibility</v>
      </c>
      <c r="F43" s="4" t="str">
        <f>VLOOKUP($A43,'Institution Evaluation'!$A$56:$K$345,3,0)&amp;""</f>
        <v>Yes</v>
      </c>
      <c r="G43" s="4" t="str">
        <f>VLOOKUP($A43,'Institution Evaluation'!$A$56:$K$345,7,0)&amp;""</f>
        <v>Yes</v>
      </c>
      <c r="H43" s="4" t="str">
        <f>VLOOKUP($A43,'Institution Evaluation'!$A$56:$K$345,8,0)&amp;""</f>
        <v/>
      </c>
      <c r="I43" s="4" t="str">
        <f>VLOOKUP($A43,'Institution Evaluation'!$A$56:$K$345,9,0)&amp;""</f>
        <v>Standard Importance</v>
      </c>
      <c r="J43" s="4" t="str">
        <f>VLOOKUP($A43,'Institution Evaluation'!$A$56:$K$345,10,0)&amp;""</f>
        <v/>
      </c>
      <c r="K43" s="4">
        <f>IF($I43='Auto Responses'!$J$11,20,IF($I43='Auto Responses'!$J$13,5,10))</f>
        <v>10</v>
      </c>
      <c r="L43" s="107">
        <f>IF($E43='Auto Responses'!$L$13, 'Auto Responses'!$J$5,IF(AND($D43='Auto Responses'!$J$27,$H43=""),'Auto Responses'!$J$5,IF(AND($D43='Auto Responses'!$J$27,$H43='Auto Responses'!$J$7),1,IF(AND($D43='Auto Responses'!$J$27,$H43='Auto Responses'!$J$8),0,IF(OR(AND($F43=$G43,$H43=""),$H43='Auto Responses'!$J$7),1,0)))))</f>
        <v>1</v>
      </c>
      <c r="M43" s="4" t="str">
        <f>VLOOKUP($A43,'Institution Evaluation'!$A$56:$K$345,11,0)&amp;""</f>
        <v>FALSE</v>
      </c>
      <c r="N43" s="4">
        <f>IF($J43='Auto Responses'!$J$11,1,IF(AND($J43="",$I43='Auto Responses'!$J$11),1,0))</f>
        <v>0</v>
      </c>
      <c r="O43" s="107">
        <f>IF(OR($F$18='Auto Responses'!$J$4,$E43='Auto Responses'!$L$13,$F43='Auto Responses'!$J$5),'Auto Responses'!$J$5,IF($J43="",$K43,IF($J43='Auto Responses'!$J$13,5,IF($J43='Auto Responses'!$J$12,10,IF($J43='Auto Responses'!$J$11,20,0)))))</f>
        <v>10</v>
      </c>
      <c r="P43" s="107">
        <f>IF(OR($O43='Auto Responses'!$J$5,$L43='Auto Responses'!$J$5),'Auto Responses'!$J$5,$O43*$L43)</f>
        <v>10</v>
      </c>
      <c r="Q43" s="107">
        <f t="shared" si="1"/>
        <v>0</v>
      </c>
      <c r="R43" s="107">
        <f t="shared" si="5"/>
        <v>0</v>
      </c>
      <c r="S43" s="107">
        <f t="shared" si="2"/>
        <v>0</v>
      </c>
      <c r="T43" s="107">
        <f t="shared" si="3"/>
        <v>0</v>
      </c>
      <c r="U43" s="107">
        <f t="shared" si="6"/>
        <v>6</v>
      </c>
      <c r="V43" s="107">
        <f t="shared" si="4"/>
        <v>0</v>
      </c>
    </row>
    <row r="44" spans="1:22" ht="55.2" x14ac:dyDescent="0.3">
      <c r="A44" s="4" t="str">
        <f>Questions!$A44</f>
        <v>ITAC-13</v>
      </c>
      <c r="B44" s="4" t="str">
        <f t="shared" si="0"/>
        <v>ITAC</v>
      </c>
      <c r="C44" s="4" t="str">
        <f>VLOOKUP($A44,Questions!$A$3:$L$333,2,0)&amp;""</f>
        <v>Have you adopted a technical or legal standard of conformance for the solution?</v>
      </c>
      <c r="D44" s="4" t="str">
        <f>VLOOKUP($A44,Questions!$A$3:$L$333,11,0)&amp;""</f>
        <v/>
      </c>
      <c r="E44" s="4" t="str">
        <f>VLOOKUP($A44,Questions!$A$3:$L$333,12,0)&amp;""</f>
        <v>IT Accessibility</v>
      </c>
      <c r="F44" s="4" t="str">
        <f>VLOOKUP($A44,'Institution Evaluation'!$A$56:$K$345,3,0)&amp;""</f>
        <v>Yes</v>
      </c>
      <c r="G44" s="4" t="str">
        <f>VLOOKUP($A44,'Institution Evaluation'!$A$56:$K$345,7,0)&amp;""</f>
        <v>Yes</v>
      </c>
      <c r="H44" s="4" t="str">
        <f>VLOOKUP($A44,'Institution Evaluation'!$A$56:$K$345,8,0)&amp;""</f>
        <v/>
      </c>
      <c r="I44" s="4" t="str">
        <f>VLOOKUP($A44,'Institution Evaluation'!$A$56:$K$345,9,0)&amp;""</f>
        <v>Standard Importance</v>
      </c>
      <c r="J44" s="4" t="str">
        <f>VLOOKUP($A44,'Institution Evaluation'!$A$56:$K$345,10,0)&amp;""</f>
        <v/>
      </c>
      <c r="K44" s="4">
        <f>IF($I44='Auto Responses'!$J$11,20,IF($I44='Auto Responses'!$J$13,5,10))</f>
        <v>10</v>
      </c>
      <c r="L44" s="107">
        <f>IF($E44='Auto Responses'!$L$13, 'Auto Responses'!$J$5,IF(AND($D44='Auto Responses'!$J$27,$H44=""),'Auto Responses'!$J$5,IF(AND($D44='Auto Responses'!$J$27,$H44='Auto Responses'!$J$7),1,IF(AND($D44='Auto Responses'!$J$27,$H44='Auto Responses'!$J$8),0,IF(OR(AND($F44=$G44,$H44=""),$H44='Auto Responses'!$J$7),1,0)))))</f>
        <v>1</v>
      </c>
      <c r="M44" s="4" t="str">
        <f>VLOOKUP($A44,'Institution Evaluation'!$A$56:$K$345,11,0)&amp;""</f>
        <v>FALSE</v>
      </c>
      <c r="N44" s="4">
        <f>IF($J44='Auto Responses'!$J$11,1,IF(AND($J44="",$I44='Auto Responses'!$J$11),1,0))</f>
        <v>0</v>
      </c>
      <c r="O44" s="107">
        <f>IF(OR($F$18='Auto Responses'!$J$4,$E44='Auto Responses'!$L$13,$F44='Auto Responses'!$J$5),'Auto Responses'!$J$5,IF($J44="",$K44,IF($J44='Auto Responses'!$J$13,5,IF($J44='Auto Responses'!$J$12,10,IF($J44='Auto Responses'!$J$11,20,0)))))</f>
        <v>10</v>
      </c>
      <c r="P44" s="107">
        <f>IF(OR($O44='Auto Responses'!$J$5,$L44='Auto Responses'!$J$5),'Auto Responses'!$J$5,$O44*$L44)</f>
        <v>10</v>
      </c>
      <c r="Q44" s="107">
        <f t="shared" si="1"/>
        <v>0</v>
      </c>
      <c r="R44" s="107">
        <f t="shared" si="5"/>
        <v>0</v>
      </c>
      <c r="S44" s="107">
        <f t="shared" si="2"/>
        <v>0</v>
      </c>
      <c r="T44" s="107">
        <f t="shared" si="3"/>
        <v>0</v>
      </c>
      <c r="U44" s="107">
        <f t="shared" si="6"/>
        <v>6</v>
      </c>
      <c r="V44" s="107">
        <f t="shared" si="4"/>
        <v>0</v>
      </c>
    </row>
    <row r="45" spans="1:22" ht="55.2" x14ac:dyDescent="0.3">
      <c r="A45" s="4" t="str">
        <f>Questions!$A45</f>
        <v>ITAC-14</v>
      </c>
      <c r="B45" s="4" t="str">
        <f t="shared" si="0"/>
        <v>ITAC</v>
      </c>
      <c r="C45" s="4" t="str">
        <f>VLOOKUP($A45,Questions!$A$3:$L$333,2,0)&amp;""</f>
        <v>Can you provide a current, detailed accessibility roadmap with delivery timelines?</v>
      </c>
      <c r="D45" s="4" t="str">
        <f>VLOOKUP($A45,Questions!$A$3:$L$333,11,0)&amp;""</f>
        <v/>
      </c>
      <c r="E45" s="4" t="str">
        <f>VLOOKUP($A45,Questions!$A$3:$L$333,12,0)&amp;""</f>
        <v>IT Accessibility</v>
      </c>
      <c r="F45" s="4" t="str">
        <f>VLOOKUP($A45,'Institution Evaluation'!$A$56:$K$345,3,0)&amp;""</f>
        <v>Yes</v>
      </c>
      <c r="G45" s="4" t="str">
        <f>VLOOKUP($A45,'Institution Evaluation'!$A$56:$K$345,7,0)&amp;""</f>
        <v>Yes</v>
      </c>
      <c r="H45" s="4" t="str">
        <f>VLOOKUP($A45,'Institution Evaluation'!$A$56:$K$345,8,0)&amp;""</f>
        <v/>
      </c>
      <c r="I45" s="4" t="str">
        <f>VLOOKUP($A45,'Institution Evaluation'!$A$56:$K$345,9,0)&amp;""</f>
        <v>Standard Importance</v>
      </c>
      <c r="J45" s="4" t="str">
        <f>VLOOKUP($A45,'Institution Evaluation'!$A$56:$K$345,10,0)&amp;""</f>
        <v/>
      </c>
      <c r="K45" s="4">
        <f>IF($I45='Auto Responses'!$J$11,20,IF($I45='Auto Responses'!$J$13,5,10))</f>
        <v>10</v>
      </c>
      <c r="L45" s="107">
        <f>IF($E45='Auto Responses'!$L$13, 'Auto Responses'!$J$5,IF(AND($D45='Auto Responses'!$J$27,$H45=""),'Auto Responses'!$J$5,IF(AND($D45='Auto Responses'!$J$27,$H45='Auto Responses'!$J$7),1,IF(AND($D45='Auto Responses'!$J$27,$H45='Auto Responses'!$J$8),0,IF(OR(AND($F45=$G45,$H45=""),$H45='Auto Responses'!$J$7),1,0)))))</f>
        <v>1</v>
      </c>
      <c r="M45" s="4" t="str">
        <f>VLOOKUP($A45,'Institution Evaluation'!$A$56:$K$345,11,0)&amp;""</f>
        <v>FALSE</v>
      </c>
      <c r="N45" s="4">
        <f>IF($J45='Auto Responses'!$J$11,1,IF(AND($J45="",$I45='Auto Responses'!$J$11),1,0))</f>
        <v>0</v>
      </c>
      <c r="O45" s="107">
        <f>IF(OR($F$18='Auto Responses'!$J$4,$E45='Auto Responses'!$L$13,$F45='Auto Responses'!$J$5),'Auto Responses'!$J$5,IF($J45="",$K45,IF($J45='Auto Responses'!$J$13,5,IF($J45='Auto Responses'!$J$12,10,IF($J45='Auto Responses'!$J$11,20,0)))))</f>
        <v>10</v>
      </c>
      <c r="P45" s="107">
        <f>IF(OR($O45='Auto Responses'!$J$5,$L45='Auto Responses'!$J$5),'Auto Responses'!$J$5,$O45*$L45)</f>
        <v>10</v>
      </c>
      <c r="Q45" s="107">
        <f t="shared" si="1"/>
        <v>0</v>
      </c>
      <c r="R45" s="107">
        <f t="shared" si="5"/>
        <v>0</v>
      </c>
      <c r="S45" s="107">
        <f t="shared" si="2"/>
        <v>0</v>
      </c>
      <c r="T45" s="107">
        <f t="shared" si="3"/>
        <v>0</v>
      </c>
      <c r="U45" s="107">
        <f t="shared" si="6"/>
        <v>6</v>
      </c>
      <c r="V45" s="107">
        <f t="shared" si="4"/>
        <v>0</v>
      </c>
    </row>
    <row r="46" spans="1:22" ht="55.2" x14ac:dyDescent="0.3">
      <c r="A46" s="4" t="str">
        <f>Questions!$A46</f>
        <v>ITAC-15</v>
      </c>
      <c r="B46" s="4" t="str">
        <f t="shared" si="0"/>
        <v>ITAC</v>
      </c>
      <c r="C46" s="4" t="str">
        <f>VLOOKUP($A46,Questions!$A$3:$L$333,2,0)&amp;""</f>
        <v>Do you expect your staff to maintain a current skill set in IT accessibility?</v>
      </c>
      <c r="D46" s="4" t="str">
        <f>VLOOKUP($A46,Questions!$A$3:$L$333,11,0)&amp;""</f>
        <v/>
      </c>
      <c r="E46" s="4" t="str">
        <f>VLOOKUP($A46,Questions!$A$3:$L$333,12,0)&amp;""</f>
        <v>IT Accessibility</v>
      </c>
      <c r="F46" s="4" t="str">
        <f>VLOOKUP($A46,'Institution Evaluation'!$A$56:$K$345,3,0)&amp;""</f>
        <v>No</v>
      </c>
      <c r="G46" s="4" t="str">
        <f>VLOOKUP($A46,'Institution Evaluation'!$A$56:$K$345,7,0)&amp;""</f>
        <v>Yes</v>
      </c>
      <c r="H46" s="4" t="str">
        <f>VLOOKUP($A46,'Institution Evaluation'!$A$56:$K$345,8,0)&amp;""</f>
        <v/>
      </c>
      <c r="I46" s="4" t="str">
        <f>VLOOKUP($A46,'Institution Evaluation'!$A$56:$K$345,9,0)&amp;""</f>
        <v>Standard Importance</v>
      </c>
      <c r="J46" s="4" t="str">
        <f>VLOOKUP($A46,'Institution Evaluation'!$A$56:$K$345,10,0)&amp;""</f>
        <v/>
      </c>
      <c r="K46" s="4">
        <f>IF($I46='Auto Responses'!$J$11,20,IF($I46='Auto Responses'!$J$13,5,10))</f>
        <v>10</v>
      </c>
      <c r="L46" s="107">
        <f>IF($E46='Auto Responses'!$L$13, 'Auto Responses'!$J$5,IF(AND($D46='Auto Responses'!$J$27,$H46=""),'Auto Responses'!$J$5,IF(AND($D46='Auto Responses'!$J$27,$H46='Auto Responses'!$J$7),1,IF(AND($D46='Auto Responses'!$J$27,$H46='Auto Responses'!$J$8),0,IF(OR(AND($F46=$G46,$H46=""),$H46='Auto Responses'!$J$7),1,0)))))</f>
        <v>0</v>
      </c>
      <c r="M46" s="4" t="str">
        <f>VLOOKUP($A46,'Institution Evaluation'!$A$56:$K$345,11,0)&amp;""</f>
        <v>FALSE</v>
      </c>
      <c r="N46" s="4">
        <f>IF($J46='Auto Responses'!$J$11,1,IF(AND($J46="",$I46='Auto Responses'!$J$11),1,0))</f>
        <v>0</v>
      </c>
      <c r="O46" s="107">
        <f>IF(OR($F$18='Auto Responses'!$J$4,$E46='Auto Responses'!$L$13,$F46='Auto Responses'!$J$5),'Auto Responses'!$J$5,IF($J46="",$K46,IF($J46='Auto Responses'!$J$13,5,IF($J46='Auto Responses'!$J$12,10,IF($J46='Auto Responses'!$J$11,20,0)))))</f>
        <v>10</v>
      </c>
      <c r="P46" s="107">
        <f>IF(OR($O46='Auto Responses'!$J$5,$L46='Auto Responses'!$J$5),'Auto Responses'!$J$5,$O46*$L46)</f>
        <v>0</v>
      </c>
      <c r="Q46" s="107">
        <f t="shared" si="1"/>
        <v>0</v>
      </c>
      <c r="R46" s="107">
        <f t="shared" si="5"/>
        <v>0</v>
      </c>
      <c r="S46" s="107">
        <f t="shared" si="2"/>
        <v>0</v>
      </c>
      <c r="T46" s="107">
        <f t="shared" si="3"/>
        <v>0</v>
      </c>
      <c r="U46" s="107">
        <f t="shared" si="6"/>
        <v>6</v>
      </c>
      <c r="V46" s="107">
        <f t="shared" si="4"/>
        <v>0</v>
      </c>
    </row>
    <row r="47" spans="1:22" ht="55.2" x14ac:dyDescent="0.3">
      <c r="A47" s="4" t="str">
        <f>Questions!$A47</f>
        <v>ITAC-16</v>
      </c>
      <c r="B47" s="4" t="str">
        <f t="shared" si="0"/>
        <v>ITAC</v>
      </c>
      <c r="C47" s="4" t="str">
        <f>VLOOKUP($A47,Questions!$A$3:$L$333,2,0)&amp;""</f>
        <v>Do you have documented processes and procedures for implementing accessibility into your development lifecycle?</v>
      </c>
      <c r="D47" s="4" t="str">
        <f>VLOOKUP($A47,Questions!$A$3:$L$333,11,0)&amp;""</f>
        <v/>
      </c>
      <c r="E47" s="4" t="str">
        <f>VLOOKUP($A47,Questions!$A$3:$L$333,12,0)&amp;""</f>
        <v>IT Accessibility</v>
      </c>
      <c r="F47" s="4" t="str">
        <f>VLOOKUP($A47,'Institution Evaluation'!$A$56:$K$345,3,0)&amp;""</f>
        <v>Yes</v>
      </c>
      <c r="G47" s="4" t="str">
        <f>VLOOKUP($A47,'Institution Evaluation'!$A$56:$K$345,7,0)&amp;""</f>
        <v>Yes</v>
      </c>
      <c r="H47" s="4" t="str">
        <f>VLOOKUP($A47,'Institution Evaluation'!$A$56:$K$345,8,0)&amp;""</f>
        <v/>
      </c>
      <c r="I47" s="4" t="str">
        <f>VLOOKUP($A47,'Institution Evaluation'!$A$56:$K$345,9,0)&amp;""</f>
        <v>Standard Importance</v>
      </c>
      <c r="J47" s="4" t="str">
        <f>VLOOKUP($A47,'Institution Evaluation'!$A$56:$K$345,10,0)&amp;""</f>
        <v/>
      </c>
      <c r="K47" s="4">
        <f>IF($I47='Auto Responses'!$J$11,20,IF($I47='Auto Responses'!$J$13,5,10))</f>
        <v>10</v>
      </c>
      <c r="L47" s="107">
        <f>IF($E47='Auto Responses'!$L$13, 'Auto Responses'!$J$5,IF(AND($D47='Auto Responses'!$J$27,$H47=""),'Auto Responses'!$J$5,IF(AND($D47='Auto Responses'!$J$27,$H47='Auto Responses'!$J$7),1,IF(AND($D47='Auto Responses'!$J$27,$H47='Auto Responses'!$J$8),0,IF(OR(AND($F47=$G47,$H47=""),$H47='Auto Responses'!$J$7),1,0)))))</f>
        <v>1</v>
      </c>
      <c r="M47" s="4" t="str">
        <f>VLOOKUP($A47,'Institution Evaluation'!$A$56:$K$345,11,0)&amp;""</f>
        <v>FALSE</v>
      </c>
      <c r="N47" s="4">
        <f>IF($J47='Auto Responses'!$J$11,1,IF(AND($J47="",$I47='Auto Responses'!$J$11),1,0))</f>
        <v>0</v>
      </c>
      <c r="O47" s="107">
        <f>IF(OR($F$18='Auto Responses'!$J$4,$E47='Auto Responses'!$L$13,$F47='Auto Responses'!$J$5),'Auto Responses'!$J$5,IF($J47="",$K47,IF($J47='Auto Responses'!$J$13,5,IF($J47='Auto Responses'!$J$12,10,IF($J47='Auto Responses'!$J$11,20,0)))))</f>
        <v>10</v>
      </c>
      <c r="P47" s="107">
        <f>IF(OR($O47='Auto Responses'!$J$5,$L47='Auto Responses'!$J$5),'Auto Responses'!$J$5,$O47*$L47)</f>
        <v>10</v>
      </c>
      <c r="Q47" s="107">
        <f t="shared" si="1"/>
        <v>0</v>
      </c>
      <c r="R47" s="107">
        <f t="shared" si="5"/>
        <v>0</v>
      </c>
      <c r="S47" s="107">
        <f t="shared" si="2"/>
        <v>0</v>
      </c>
      <c r="T47" s="107">
        <f t="shared" si="3"/>
        <v>0</v>
      </c>
      <c r="U47" s="107">
        <f t="shared" si="6"/>
        <v>6</v>
      </c>
      <c r="V47" s="107">
        <f t="shared" si="4"/>
        <v>0</v>
      </c>
    </row>
    <row r="48" spans="1:22" ht="55.2" x14ac:dyDescent="0.3">
      <c r="A48" s="4" t="str">
        <f>Questions!$A48</f>
        <v>ITAC-17</v>
      </c>
      <c r="B48" s="4" t="str">
        <f t="shared" si="0"/>
        <v>ITAC</v>
      </c>
      <c r="C48" s="4" t="str">
        <f>VLOOKUP($A48,Questions!$A$3:$L$333,2,0)&amp;""</f>
        <v>Can all functions of the application or service be performed using only the keyboard?</v>
      </c>
      <c r="D48" s="4" t="str">
        <f>VLOOKUP($A48,Questions!$A$3:$L$333,11,0)&amp;""</f>
        <v/>
      </c>
      <c r="E48" s="4" t="str">
        <f>VLOOKUP($A48,Questions!$A$3:$L$333,12,0)&amp;""</f>
        <v>IT Accessibility</v>
      </c>
      <c r="F48" s="4" t="str">
        <f>VLOOKUP($A48,'Institution Evaluation'!$A$56:$K$345,3,0)&amp;""</f>
        <v>Yes</v>
      </c>
      <c r="G48" s="4" t="str">
        <f>VLOOKUP($A48,'Institution Evaluation'!$A$56:$K$345,7,0)&amp;""</f>
        <v>Yes</v>
      </c>
      <c r="H48" s="4" t="str">
        <f>VLOOKUP($A48,'Institution Evaluation'!$A$56:$K$345,8,0)&amp;""</f>
        <v/>
      </c>
      <c r="I48" s="4" t="str">
        <f>VLOOKUP($A48,'Institution Evaluation'!$A$56:$K$345,9,0)&amp;""</f>
        <v>Standard Importance</v>
      </c>
      <c r="J48" s="4" t="str">
        <f>VLOOKUP($A48,'Institution Evaluation'!$A$56:$K$345,10,0)&amp;""</f>
        <v/>
      </c>
      <c r="K48" s="4">
        <f>IF($I48='Auto Responses'!$J$11,20,IF($I48='Auto Responses'!$J$13,5,10))</f>
        <v>10</v>
      </c>
      <c r="L48" s="107">
        <f>IF($E48='Auto Responses'!$L$13, 'Auto Responses'!$J$5,IF(AND($D48='Auto Responses'!$J$27,$H48=""),'Auto Responses'!$J$5,IF(AND($D48='Auto Responses'!$J$27,$H48='Auto Responses'!$J$7),1,IF(AND($D48='Auto Responses'!$J$27,$H48='Auto Responses'!$J$8),0,IF(OR(AND($F48=$G48,$H48=""),$H48='Auto Responses'!$J$7),1,0)))))</f>
        <v>1</v>
      </c>
      <c r="M48" s="4" t="str">
        <f>VLOOKUP($A48,'Institution Evaluation'!$A$56:$K$345,11,0)&amp;""</f>
        <v>FALSE</v>
      </c>
      <c r="N48" s="4">
        <f>IF($J48='Auto Responses'!$J$11,1,IF(AND($J48="",$I48='Auto Responses'!$J$11),1,0))</f>
        <v>0</v>
      </c>
      <c r="O48" s="107">
        <f>IF(OR($F$18='Auto Responses'!$J$4,$E48='Auto Responses'!$L$13,$F48='Auto Responses'!$J$5),'Auto Responses'!$J$5,IF($J48="",$K48,IF($J48='Auto Responses'!$J$13,5,IF($J48='Auto Responses'!$J$12,10,IF($J48='Auto Responses'!$J$11,20,0)))))</f>
        <v>10</v>
      </c>
      <c r="P48" s="107">
        <f>IF(OR($O48='Auto Responses'!$J$5,$L48='Auto Responses'!$J$5),'Auto Responses'!$J$5,$O48*$L48)</f>
        <v>10</v>
      </c>
      <c r="Q48" s="107">
        <f t="shared" si="1"/>
        <v>0</v>
      </c>
      <c r="R48" s="107">
        <f t="shared" si="5"/>
        <v>0</v>
      </c>
      <c r="S48" s="107">
        <f t="shared" si="2"/>
        <v>0</v>
      </c>
      <c r="T48" s="107">
        <f t="shared" si="3"/>
        <v>0</v>
      </c>
      <c r="U48" s="107">
        <f t="shared" si="6"/>
        <v>6</v>
      </c>
      <c r="V48" s="107">
        <f t="shared" si="4"/>
        <v>0</v>
      </c>
    </row>
    <row r="49" spans="1:22" ht="55.2" x14ac:dyDescent="0.3">
      <c r="A49" s="4" t="str">
        <f>Questions!$A49</f>
        <v>ITAC-18</v>
      </c>
      <c r="B49" s="4" t="str">
        <f t="shared" si="0"/>
        <v>ITAC</v>
      </c>
      <c r="C49" s="4" t="str">
        <f>VLOOKUP($A49,Questions!$A$3:$L$333,2,0)&amp;""</f>
        <v>Does your product rely on activating a special "accessibility mode," a "lite version," or using an alternate interface (including “overlay” or AI-based alternates)  for accessibility purposes?</v>
      </c>
      <c r="D49" s="4" t="str">
        <f>VLOOKUP($A49,Questions!$A$3:$L$333,11,0)&amp;""</f>
        <v/>
      </c>
      <c r="E49" s="4" t="str">
        <f>VLOOKUP($A49,Questions!$A$3:$L$333,12,0)&amp;""</f>
        <v>IT Accessibility</v>
      </c>
      <c r="F49" s="4" t="str">
        <f>VLOOKUP($A49,'Institution Evaluation'!$A$56:$K$345,3,0)&amp;""</f>
        <v>No</v>
      </c>
      <c r="G49" s="4" t="str">
        <f>VLOOKUP($A49,'Institution Evaluation'!$A$56:$K$345,7,0)&amp;""</f>
        <v>No</v>
      </c>
      <c r="H49" s="4" t="str">
        <f>VLOOKUP($A49,'Institution Evaluation'!$A$56:$K$345,8,0)&amp;""</f>
        <v/>
      </c>
      <c r="I49" s="4" t="str">
        <f>VLOOKUP($A49,'Institution Evaluation'!$A$56:$K$345,9,0)&amp;""</f>
        <v>Standard Importance</v>
      </c>
      <c r="J49" s="4" t="str">
        <f>VLOOKUP($A49,'Institution Evaluation'!$A$56:$K$345,10,0)&amp;""</f>
        <v/>
      </c>
      <c r="K49" s="4">
        <f>IF($I49='Auto Responses'!$J$11,20,IF($I49='Auto Responses'!$J$13,5,10))</f>
        <v>10</v>
      </c>
      <c r="L49" s="107">
        <f>IF($E49='Auto Responses'!$L$13, 'Auto Responses'!$J$5,IF(AND($D49='Auto Responses'!$J$27,$H49=""),'Auto Responses'!$J$5,IF(AND($D49='Auto Responses'!$J$27,$H49='Auto Responses'!$J$7),1,IF(AND($D49='Auto Responses'!$J$27,$H49='Auto Responses'!$J$8),0,IF(OR(AND($F49=$G49,$H49=""),$H49='Auto Responses'!$J$7),1,0)))))</f>
        <v>1</v>
      </c>
      <c r="M49" s="4" t="str">
        <f>VLOOKUP($A49,'Institution Evaluation'!$A$56:$K$345,11,0)&amp;""</f>
        <v>FALSE</v>
      </c>
      <c r="N49" s="4">
        <f>IF($J49='Auto Responses'!$J$11,1,IF(AND($J49="",$I49='Auto Responses'!$J$11),1,0))</f>
        <v>0</v>
      </c>
      <c r="O49" s="107">
        <f>IF(OR($F$18='Auto Responses'!$J$4,$E49='Auto Responses'!$L$13,$F49='Auto Responses'!$J$5),'Auto Responses'!$J$5,IF($J49="",$K49,IF($J49='Auto Responses'!$J$13,5,IF($J49='Auto Responses'!$J$12,10,IF($J49='Auto Responses'!$J$11,20,0)))))</f>
        <v>10</v>
      </c>
      <c r="P49" s="107">
        <f>IF(OR($O49='Auto Responses'!$J$5,$L49='Auto Responses'!$J$5),'Auto Responses'!$J$5,$O49*$L49)</f>
        <v>10</v>
      </c>
      <c r="Q49" s="107">
        <f t="shared" si="1"/>
        <v>0</v>
      </c>
      <c r="R49" s="107">
        <f t="shared" si="5"/>
        <v>0</v>
      </c>
      <c r="S49" s="107">
        <f t="shared" si="2"/>
        <v>0</v>
      </c>
      <c r="T49" s="107">
        <f t="shared" si="3"/>
        <v>0</v>
      </c>
      <c r="U49" s="107">
        <f t="shared" si="6"/>
        <v>6</v>
      </c>
      <c r="V49" s="107">
        <f t="shared" si="4"/>
        <v>0</v>
      </c>
    </row>
    <row r="50" spans="1:22" ht="55.2" x14ac:dyDescent="0.3">
      <c r="A50" s="4" t="str">
        <f>Questions!$A51</f>
        <v>THRD-02</v>
      </c>
      <c r="B50" s="4" t="str">
        <f t="shared" si="0"/>
        <v>THRD</v>
      </c>
      <c r="C50" s="4" t="str">
        <f>VLOOKUP($A50,Questions!$A$3:$L$333,2,0)&amp;""</f>
        <v>Do you have contractual language in place with third parties governing access to institutional data?*</v>
      </c>
      <c r="D50" s="4" t="str">
        <f>VLOOKUP($A50,Questions!$A$3:$L$333,11,0)&amp;""</f>
        <v/>
      </c>
      <c r="E50" s="4" t="str">
        <f>VLOOKUP($A50,Questions!$A$3:$L$333,12,0)&amp;""</f>
        <v>Organization</v>
      </c>
      <c r="F50" s="4" t="str">
        <f>VLOOKUP($A50,'Institution Evaluation'!$A$56:$K$345,3,0)&amp;""</f>
        <v>Yes</v>
      </c>
      <c r="G50" s="4" t="str">
        <f>VLOOKUP($A50,'Institution Evaluation'!$A$56:$K$345,7,0)&amp;""</f>
        <v>Yes</v>
      </c>
      <c r="H50" s="4" t="str">
        <f>VLOOKUP($A50,'Institution Evaluation'!$A$56:$K$345,8,0)&amp;""</f>
        <v/>
      </c>
      <c r="I50" s="4" t="str">
        <f>VLOOKUP($A50,'Institution Evaluation'!$A$56:$K$345,9,0)&amp;""</f>
        <v>Critical Importance</v>
      </c>
      <c r="J50" s="4" t="str">
        <f>VLOOKUP($A50,'Institution Evaluation'!$A$56:$K$345,10,0)&amp;""</f>
        <v/>
      </c>
      <c r="K50" s="4">
        <f>IF($I50='Auto Responses'!$J$11,20,IF($I50='Auto Responses'!$J$13,5,10))</f>
        <v>20</v>
      </c>
      <c r="L50" s="107">
        <f>IF($E50='Auto Responses'!$L$13, 'Auto Responses'!$J$5,IF(AND($D50='Auto Responses'!$J$27,$H50=""),'Auto Responses'!$J$5,IF(AND($D50='Auto Responses'!$J$27,$H50='Auto Responses'!$J$7),1,IF(AND($D50='Auto Responses'!$J$27,$H50='Auto Responses'!$J$8),0,IF(OR(AND($F50=$G50,$H50=""),$H50='Auto Responses'!$J$7),1,0)))))</f>
        <v>1</v>
      </c>
      <c r="M50" s="4" t="str">
        <f>VLOOKUP($A50,'Institution Evaluation'!$A$56:$K$345,11,0)&amp;""</f>
        <v>FALSE</v>
      </c>
      <c r="N50" s="4">
        <f>IF($J50='Auto Responses'!$J$11,1,IF(AND($J50="",$I50='Auto Responses'!$J$11),1,0))</f>
        <v>1</v>
      </c>
      <c r="O50" s="107">
        <f>IF(OR($E50='Auto Responses'!$L$13,$F50='Auto Responses'!$J$5),'Auto Responses'!$J$5,IF($J50="",$K50,IF($J50='Auto Responses'!$J$13,5,IF($J50='Auto Responses'!$J$12,10,IF($J50='Auto Responses'!$J$11,20,0)))))</f>
        <v>20</v>
      </c>
      <c r="P50" s="107">
        <f>IF(OR($O50='Auto Responses'!$J$5,$L50='Auto Responses'!$J$5),'Auto Responses'!$J$5,$O50*$L50)</f>
        <v>20</v>
      </c>
      <c r="Q50" s="107">
        <f t="shared" si="1"/>
        <v>0</v>
      </c>
      <c r="R50" s="107">
        <f t="shared" si="5"/>
        <v>0</v>
      </c>
      <c r="S50" s="107">
        <f t="shared" si="2"/>
        <v>0</v>
      </c>
      <c r="T50" s="107">
        <f t="shared" si="3"/>
        <v>1</v>
      </c>
      <c r="U50" s="107">
        <f t="shared" si="6"/>
        <v>7</v>
      </c>
      <c r="V50" s="107">
        <f t="shared" si="4"/>
        <v>7</v>
      </c>
    </row>
    <row r="51" spans="1:22" ht="55.2" x14ac:dyDescent="0.3">
      <c r="A51" s="4" t="str">
        <f>Questions!$A50</f>
        <v>THRD-01</v>
      </c>
      <c r="B51" s="4" t="str">
        <f t="shared" si="0"/>
        <v>THRD</v>
      </c>
      <c r="C51" s="4" t="str">
        <f>VLOOKUP($A51,Questions!$A$3:$L$333,2,0)&amp;""</f>
        <v>Do you perform security assessments of third-party companies with which you share data (e.g., hosting providers, cloud services, PaaS, IaaS, SaaS)?*</v>
      </c>
      <c r="D51" s="4" t="str">
        <f>VLOOKUP($A51,Questions!$A$3:$L$333,11,0)&amp;""</f>
        <v/>
      </c>
      <c r="E51" s="4" t="str">
        <f>VLOOKUP($A51,Questions!$A$3:$L$333,12,0)&amp;""</f>
        <v>Organization</v>
      </c>
      <c r="F51" s="4" t="str">
        <f>VLOOKUP($A51,'Institution Evaluation'!$A$56:$K$345,3,0)&amp;""</f>
        <v>Yes</v>
      </c>
      <c r="G51" s="4" t="str">
        <f>VLOOKUP($A51,'Institution Evaluation'!$A$56:$K$345,7,0)&amp;""</f>
        <v>Yes</v>
      </c>
      <c r="H51" s="4" t="str">
        <f>VLOOKUP($A51,'Institution Evaluation'!$A$56:$K$345,8,0)&amp;""</f>
        <v/>
      </c>
      <c r="I51" s="4" t="str">
        <f>VLOOKUP($A51,'Institution Evaluation'!$A$56:$K$345,9,0)&amp;""</f>
        <v>Critical Importance</v>
      </c>
      <c r="J51" s="4" t="str">
        <f>VLOOKUP($A51,'Institution Evaluation'!$A$56:$K$345,10,0)&amp;""</f>
        <v/>
      </c>
      <c r="K51" s="4">
        <f>IF($I51='Auto Responses'!$J$11,20,IF($I51='Auto Responses'!$J$13,5,10))</f>
        <v>20</v>
      </c>
      <c r="L51" s="107">
        <f>IF($E51='Auto Responses'!$L$13, 'Auto Responses'!$J$5,IF(AND($D51='Auto Responses'!$J$27,$H51=""),'Auto Responses'!$J$5,IF(AND($D51='Auto Responses'!$J$27,$H51='Auto Responses'!$J$7),1,IF(AND($D51='Auto Responses'!$J$27,$H51='Auto Responses'!$J$8),0,IF(OR(AND($F51=$G51,$H51=""),$H51='Auto Responses'!$J$7),1,0)))))</f>
        <v>1</v>
      </c>
      <c r="M51" s="4" t="str">
        <f>VLOOKUP($A51,'Institution Evaluation'!$A$56:$K$345,11,0)&amp;""</f>
        <v>FALSE</v>
      </c>
      <c r="N51" s="4">
        <f>IF($J51='Auto Responses'!$J$11,1,IF(AND($J51="",$I51='Auto Responses'!$J$11),1,0))</f>
        <v>1</v>
      </c>
      <c r="O51" s="107">
        <f>IF(OR($E51='Auto Responses'!$L$13,$F51='Auto Responses'!$J$5),'Auto Responses'!$J$5,IF($J51="",$K51,IF($J51='Auto Responses'!$J$13,5,IF($J51='Auto Responses'!$J$12,10,IF($J51='Auto Responses'!$J$11,20,0)))))</f>
        <v>20</v>
      </c>
      <c r="P51" s="107">
        <f>IF(OR($O51='Auto Responses'!$J$5,$L51='Auto Responses'!$J$5),'Auto Responses'!$J$5,$O51*$L51)</f>
        <v>20</v>
      </c>
      <c r="Q51" s="107">
        <f t="shared" si="1"/>
        <v>0</v>
      </c>
      <c r="R51" s="107">
        <f t="shared" si="5"/>
        <v>0</v>
      </c>
      <c r="S51" s="107">
        <f t="shared" si="2"/>
        <v>0</v>
      </c>
      <c r="T51" s="107">
        <f t="shared" si="3"/>
        <v>1</v>
      </c>
      <c r="U51" s="107">
        <f t="shared" si="6"/>
        <v>8</v>
      </c>
      <c r="V51" s="107">
        <f t="shared" si="4"/>
        <v>8</v>
      </c>
    </row>
    <row r="52" spans="1:22" ht="55.2" x14ac:dyDescent="0.3">
      <c r="A52" s="4" t="str">
        <f>Questions!$A52</f>
        <v>THRD-03</v>
      </c>
      <c r="B52" s="4" t="str">
        <f t="shared" si="0"/>
        <v>THRD</v>
      </c>
      <c r="C52" s="4" t="str">
        <f>VLOOKUP($A52,Questions!$A$3:$L$333,2,0)&amp;""</f>
        <v>Do the contracts in place with these third parties address liability in the event of a data breach?*</v>
      </c>
      <c r="D52" s="4" t="str">
        <f>VLOOKUP($A52,Questions!$A$3:$L$333,11,0)&amp;""</f>
        <v/>
      </c>
      <c r="E52" s="4" t="str">
        <f>VLOOKUP($A52,Questions!$A$3:$L$333,12,0)&amp;""</f>
        <v>Organization</v>
      </c>
      <c r="F52" s="4" t="str">
        <f>VLOOKUP($A52,'Institution Evaluation'!$A$56:$K$345,3,0)&amp;""</f>
        <v>No</v>
      </c>
      <c r="G52" s="4" t="str">
        <f>VLOOKUP($A52,'Institution Evaluation'!$A$56:$K$345,7,0)&amp;""</f>
        <v>Yes</v>
      </c>
      <c r="H52" s="4" t="str">
        <f>VLOOKUP($A52,'Institution Evaluation'!$A$56:$K$345,8,0)&amp;""</f>
        <v/>
      </c>
      <c r="I52" s="4" t="str">
        <f>VLOOKUP($A52,'Institution Evaluation'!$A$56:$K$345,9,0)&amp;""</f>
        <v>Critical Importance</v>
      </c>
      <c r="J52" s="4" t="str">
        <f>VLOOKUP($A52,'Institution Evaluation'!$A$56:$K$345,10,0)&amp;""</f>
        <v/>
      </c>
      <c r="K52" s="4">
        <f>IF($I52='Auto Responses'!$J$11,20,IF($I52='Auto Responses'!$J$13,5,10))</f>
        <v>20</v>
      </c>
      <c r="L52" s="107">
        <f>IF($E52='Auto Responses'!$L$13, 'Auto Responses'!$J$5,IF(AND($D52='Auto Responses'!$J$27,$H52=""),'Auto Responses'!$J$5,IF(AND($D52='Auto Responses'!$J$27,$H52='Auto Responses'!$J$7),1,IF(AND($D52='Auto Responses'!$J$27,$H52='Auto Responses'!$J$8),0,IF(OR(AND($F52=$G52,$H52=""),$H52='Auto Responses'!$J$7),1,0)))))</f>
        <v>0</v>
      </c>
      <c r="M52" s="4" t="str">
        <f>VLOOKUP($A52,'Institution Evaluation'!$A$56:$K$345,11,0)&amp;""</f>
        <v>FALSE</v>
      </c>
      <c r="N52" s="4">
        <f>IF($J52='Auto Responses'!$J$11,1,IF(AND($J52="",$I52='Auto Responses'!$J$11),1,0))</f>
        <v>1</v>
      </c>
      <c r="O52" s="107">
        <f>IF(OR($E52='Auto Responses'!$L$13,$F52='Auto Responses'!$J$5),'Auto Responses'!$J$5,IF($J52="",$K52,IF($J52='Auto Responses'!$J$13,5,IF($J52='Auto Responses'!$J$12,10,IF($J52='Auto Responses'!$J$11,20,0)))))</f>
        <v>20</v>
      </c>
      <c r="P52" s="107">
        <f>IF(OR($O52='Auto Responses'!$J$5,$L52='Auto Responses'!$J$5),'Auto Responses'!$J$5,$O52*$L52)</f>
        <v>0</v>
      </c>
      <c r="Q52" s="107">
        <f t="shared" si="1"/>
        <v>0</v>
      </c>
      <c r="R52" s="107">
        <f t="shared" si="5"/>
        <v>0</v>
      </c>
      <c r="S52" s="107">
        <f t="shared" si="2"/>
        <v>0</v>
      </c>
      <c r="T52" s="107">
        <f t="shared" si="3"/>
        <v>1</v>
      </c>
      <c r="U52" s="107">
        <f t="shared" si="6"/>
        <v>9</v>
      </c>
      <c r="V52" s="107">
        <f t="shared" si="4"/>
        <v>9</v>
      </c>
    </row>
    <row r="53" spans="1:22" ht="55.2" x14ac:dyDescent="0.3">
      <c r="A53" s="4" t="str">
        <f>Questions!$A53</f>
        <v>THRD-04</v>
      </c>
      <c r="B53" s="4" t="str">
        <f t="shared" si="0"/>
        <v>THRD</v>
      </c>
      <c r="C53" s="4" t="str">
        <f>VLOOKUP($A53,Questions!$A$3:$L$333,2,0)&amp;""</f>
        <v>Do you have an implemented third-party management strategy?*</v>
      </c>
      <c r="D53" s="4" t="str">
        <f>VLOOKUP($A53,Questions!$A$3:$L$333,11,0)&amp;""</f>
        <v/>
      </c>
      <c r="E53" s="4" t="str">
        <f>VLOOKUP($A53,Questions!$A$3:$L$333,12,0)&amp;""</f>
        <v>Organization</v>
      </c>
      <c r="F53" s="4" t="str">
        <f>VLOOKUP($A53,'Institution Evaluation'!$A$56:$K$345,3,0)&amp;""</f>
        <v>Yes</v>
      </c>
      <c r="G53" s="4" t="str">
        <f>VLOOKUP($A53,'Institution Evaluation'!$A$56:$K$345,7,0)&amp;""</f>
        <v>Yes</v>
      </c>
      <c r="H53" s="4" t="str">
        <f>VLOOKUP($A53,'Institution Evaluation'!$A$56:$K$345,8,0)&amp;""</f>
        <v/>
      </c>
      <c r="I53" s="4" t="str">
        <f>VLOOKUP($A53,'Institution Evaluation'!$A$56:$K$345,9,0)&amp;""</f>
        <v>Critical Importance</v>
      </c>
      <c r="J53" s="4" t="str">
        <f>VLOOKUP($A53,'Institution Evaluation'!$A$56:$K$345,10,0)&amp;""</f>
        <v/>
      </c>
      <c r="K53" s="4">
        <f>IF($I53='Auto Responses'!$J$11,20,IF($I53='Auto Responses'!$J$13,5,10))</f>
        <v>20</v>
      </c>
      <c r="L53" s="107">
        <f>IF($E53='Auto Responses'!$L$13, 'Auto Responses'!$J$5,IF(AND($D53='Auto Responses'!$J$27,$H53=""),'Auto Responses'!$J$5,IF(AND($D53='Auto Responses'!$J$27,$H53='Auto Responses'!$J$7),1,IF(AND($D53='Auto Responses'!$J$27,$H53='Auto Responses'!$J$8),0,IF(OR(AND($F53=$G53,$H53=""),$H53='Auto Responses'!$J$7),1,0)))))</f>
        <v>1</v>
      </c>
      <c r="M53" s="4" t="str">
        <f>VLOOKUP($A53,'Institution Evaluation'!$A$56:$K$345,11,0)&amp;""</f>
        <v>FALSE</v>
      </c>
      <c r="N53" s="4">
        <f>IF($J53='Auto Responses'!$J$11,1,IF(AND($J53="",$I53='Auto Responses'!$J$11),1,0))</f>
        <v>1</v>
      </c>
      <c r="O53" s="107">
        <f>IF(OR($E53='Auto Responses'!$L$13,$F53='Auto Responses'!$J$5),'Auto Responses'!$J$5,IF($J53="",$K53,IF($J53='Auto Responses'!$J$13,5,IF($J53='Auto Responses'!$J$12,10,IF($J53='Auto Responses'!$J$11,20,0)))))</f>
        <v>20</v>
      </c>
      <c r="P53" s="107">
        <f>IF(OR($O53='Auto Responses'!$J$5,$L53='Auto Responses'!$J$5),'Auto Responses'!$J$5,$O53*$L53)</f>
        <v>20</v>
      </c>
      <c r="Q53" s="107">
        <f t="shared" si="1"/>
        <v>0</v>
      </c>
      <c r="R53" s="107">
        <f t="shared" si="5"/>
        <v>0</v>
      </c>
      <c r="S53" s="107">
        <f t="shared" si="2"/>
        <v>0</v>
      </c>
      <c r="T53" s="107">
        <f t="shared" si="3"/>
        <v>1</v>
      </c>
      <c r="U53" s="107">
        <f t="shared" si="6"/>
        <v>10</v>
      </c>
      <c r="V53" s="107">
        <f t="shared" si="4"/>
        <v>10</v>
      </c>
    </row>
    <row r="54" spans="1:22" ht="55.2" x14ac:dyDescent="0.3">
      <c r="A54" s="4" t="str">
        <f>Questions!$A54</f>
        <v>THRD-05</v>
      </c>
      <c r="B54" s="4" t="str">
        <f t="shared" si="0"/>
        <v>THRD</v>
      </c>
      <c r="C54" s="4" t="str">
        <f>VLOOKUP($A54,Questions!$A$3:$L$333,2,0)&amp;""</f>
        <v>Do you have a process and implemented procedures for managing your hardware supply chain (e.g., telecommunications equipment, export licensing, computing devices)?</v>
      </c>
      <c r="D54" s="4" t="str">
        <f>VLOOKUP($A54,Questions!$A$3:$L$333,11,0)&amp;""</f>
        <v/>
      </c>
      <c r="E54" s="4" t="str">
        <f>VLOOKUP($A54,Questions!$A$3:$L$333,12,0)&amp;""</f>
        <v>Organization</v>
      </c>
      <c r="F54" s="4" t="str">
        <f>VLOOKUP($A54,'Institution Evaluation'!$A$56:$K$345,3,0)&amp;""</f>
        <v>No</v>
      </c>
      <c r="G54" s="4" t="str">
        <f>VLOOKUP($A54,'Institution Evaluation'!$A$56:$K$345,7,0)&amp;""</f>
        <v>Yes</v>
      </c>
      <c r="H54" s="4" t="str">
        <f>VLOOKUP($A54,'Institution Evaluation'!$A$56:$K$345,8,0)&amp;""</f>
        <v/>
      </c>
      <c r="I54" s="4" t="str">
        <f>VLOOKUP($A54,'Institution Evaluation'!$A$56:$K$345,9,0)&amp;""</f>
        <v>Standard Importance</v>
      </c>
      <c r="J54" s="4" t="str">
        <f>VLOOKUP($A54,'Institution Evaluation'!$A$56:$K$345,10,0)&amp;""</f>
        <v/>
      </c>
      <c r="K54" s="4">
        <f>IF($I54='Auto Responses'!$J$11,20,IF($I54='Auto Responses'!$J$13,5,10))</f>
        <v>10</v>
      </c>
      <c r="L54" s="107">
        <f>IF($E54='Auto Responses'!$L$13, 'Auto Responses'!$J$5,IF(AND($D54='Auto Responses'!$J$27,$H54=""),'Auto Responses'!$J$5,IF(AND($D54='Auto Responses'!$J$27,$H54='Auto Responses'!$J$7),1,IF(AND($D54='Auto Responses'!$J$27,$H54='Auto Responses'!$J$8),0,IF(OR(AND($F54=$G54,$H54=""),$H54='Auto Responses'!$J$7),1,0)))))</f>
        <v>0</v>
      </c>
      <c r="M54" s="4" t="str">
        <f>VLOOKUP($A54,'Institution Evaluation'!$A$56:$K$345,11,0)&amp;""</f>
        <v>FALSE</v>
      </c>
      <c r="N54" s="4">
        <f>IF($J54='Auto Responses'!$J$11,1,IF(AND($J54="",$I54='Auto Responses'!$J$11),1,0))</f>
        <v>0</v>
      </c>
      <c r="O54" s="107">
        <f>IF(OR($E54='Auto Responses'!$L$13,$F54='Auto Responses'!$J$5),'Auto Responses'!$J$5,IF($J54="",$K54,IF($J54='Auto Responses'!$J$13,5,IF($J54='Auto Responses'!$J$12,10,IF($J54='Auto Responses'!$J$11,20,0)))))</f>
        <v>10</v>
      </c>
      <c r="P54" s="107">
        <f>IF(OR($O54='Auto Responses'!$J$5,$L54='Auto Responses'!$J$5),'Auto Responses'!$J$5,$O54*$L54)</f>
        <v>0</v>
      </c>
      <c r="Q54" s="107">
        <f t="shared" si="1"/>
        <v>0</v>
      </c>
      <c r="R54" s="107">
        <f t="shared" si="5"/>
        <v>0</v>
      </c>
      <c r="S54" s="107">
        <f t="shared" si="2"/>
        <v>0</v>
      </c>
      <c r="T54" s="107">
        <f t="shared" si="3"/>
        <v>0</v>
      </c>
      <c r="U54" s="107">
        <f t="shared" si="6"/>
        <v>10</v>
      </c>
      <c r="V54" s="107">
        <f t="shared" si="4"/>
        <v>0</v>
      </c>
    </row>
    <row r="55" spans="1:22" ht="55.2" x14ac:dyDescent="0.3">
      <c r="A55" s="4" t="str">
        <f>Questions!$A55</f>
        <v>CONS-01</v>
      </c>
      <c r="B55" s="4" t="str">
        <f t="shared" si="0"/>
        <v>CONS</v>
      </c>
      <c r="C55" s="4" t="str">
        <f>VLOOKUP($A55,Questions!$A$3:$L$333,2,0)&amp;""</f>
        <v>Will the consultant require access to the institution's network resources?*</v>
      </c>
      <c r="D55" s="4" t="str">
        <f>VLOOKUP($A55,Questions!$A$3:$L$333,11,0)&amp;""</f>
        <v/>
      </c>
      <c r="E55" s="4" t="str">
        <f>VLOOKUP($A55,Questions!$A$3:$L$333,12,0)&amp;""</f>
        <v>Case-Specific</v>
      </c>
      <c r="F55" s="4" t="str">
        <f>VLOOKUP($A55,'Institution Evaluation'!$A$56:$K$345,3,0)&amp;""</f>
        <v/>
      </c>
      <c r="G55" s="4" t="str">
        <f>VLOOKUP($A55,'Institution Evaluation'!$A$56:$K$345,7,0)&amp;""</f>
        <v>No</v>
      </c>
      <c r="H55" s="4" t="str">
        <f>VLOOKUP($A55,'Institution Evaluation'!$A$56:$K$345,8,0)&amp;""</f>
        <v/>
      </c>
      <c r="I55" s="4" t="str">
        <f>VLOOKUP($A55,'Institution Evaluation'!$A$56:$K$345,9,0)&amp;""</f>
        <v>Critical Importance</v>
      </c>
      <c r="J55" s="4" t="str">
        <f>VLOOKUP($A55,'Institution Evaluation'!$A$56:$K$345,10,0)&amp;""</f>
        <v/>
      </c>
      <c r="K55" s="4">
        <f>IF($I55='Auto Responses'!$J$11,20,IF($I55='Auto Responses'!$J$13,5,10))</f>
        <v>20</v>
      </c>
      <c r="L55" s="107">
        <f>IF($E55='Auto Responses'!$L$13, 'Auto Responses'!$J$5,IF(AND($D55='Auto Responses'!$J$27,$H55=""),'Auto Responses'!$J$5,IF(AND($D55='Auto Responses'!$J$27,$H55='Auto Responses'!$J$7),1,IF(AND($D55='Auto Responses'!$J$27,$H55='Auto Responses'!$J$8),0,IF(OR(AND($F55=$G55,$H55=""),$H55='Auto Responses'!$J$7),1,0)))))</f>
        <v>0</v>
      </c>
      <c r="M55" s="4" t="str">
        <f>VLOOKUP($A55,'Institution Evaluation'!$A$56:$K$345,11,0)&amp;""</f>
        <v>FALSE</v>
      </c>
      <c r="N55" s="4">
        <f>IF($J55='Auto Responses'!$J$11,1,IF(AND($J55="",$I55='Auto Responses'!$J$11),1,0))</f>
        <v>1</v>
      </c>
      <c r="O55" s="107" t="str">
        <f>IF(OR($F$19='Auto Responses'!$J$4,$E55='Auto Responses'!$L$13,$F55='Auto Responses'!$J$5),'Auto Responses'!$J$5,IF($J55="",$K55,IF($J55='Auto Responses'!$J$13,5,IF($J55='Auto Responses'!$J$12,10,IF($J55='Auto Responses'!$J$11,20,0)))))</f>
        <v>N/A</v>
      </c>
      <c r="P55" s="107" t="str">
        <f>IF(OR($O55='Auto Responses'!$J$5,$L55='Auto Responses'!$J$5),'Auto Responses'!$J$5,$O55*$L55)</f>
        <v>N/A</v>
      </c>
      <c r="Q55" s="107">
        <f t="shared" si="1"/>
        <v>0</v>
      </c>
      <c r="R55" s="107">
        <f t="shared" si="5"/>
        <v>0</v>
      </c>
      <c r="S55" s="107">
        <f t="shared" si="2"/>
        <v>0</v>
      </c>
      <c r="T55" s="107">
        <f t="shared" si="3"/>
        <v>1</v>
      </c>
      <c r="U55" s="107">
        <f t="shared" si="6"/>
        <v>11</v>
      </c>
      <c r="V55" s="107">
        <f t="shared" si="4"/>
        <v>11</v>
      </c>
    </row>
    <row r="56" spans="1:22" ht="55.2" x14ac:dyDescent="0.3">
      <c r="A56" s="4" t="str">
        <f>Questions!$A56</f>
        <v>CONS-02</v>
      </c>
      <c r="B56" s="4" t="str">
        <f t="shared" si="0"/>
        <v>CONS</v>
      </c>
      <c r="C56" s="4" t="str">
        <f>VLOOKUP($A56,Questions!$A$3:$L$333,2,0)&amp;""</f>
        <v>Has the consultant received training on (sensitive, HIPAA, PCI, etc.) data handling?*</v>
      </c>
      <c r="D56" s="4" t="str">
        <f>VLOOKUP($A56,Questions!$A$3:$L$333,11,0)&amp;""</f>
        <v/>
      </c>
      <c r="E56" s="4" t="str">
        <f>VLOOKUP($A56,Questions!$A$3:$L$333,12,0)&amp;""</f>
        <v>Case-Specific</v>
      </c>
      <c r="F56" s="4" t="str">
        <f>VLOOKUP($A56,'Institution Evaluation'!$A$56:$K$345,3,0)&amp;""</f>
        <v/>
      </c>
      <c r="G56" s="4" t="str">
        <f>VLOOKUP($A56,'Institution Evaluation'!$A$56:$K$345,7,0)&amp;""</f>
        <v>Yes</v>
      </c>
      <c r="H56" s="4" t="str">
        <f>VLOOKUP($A56,'Institution Evaluation'!$A$56:$K$345,8,0)&amp;""</f>
        <v/>
      </c>
      <c r="I56" s="4" t="str">
        <f>VLOOKUP($A56,'Institution Evaluation'!$A$56:$K$345,9,0)&amp;""</f>
        <v>Critical Importance</v>
      </c>
      <c r="J56" s="4" t="str">
        <f>VLOOKUP($A56,'Institution Evaluation'!$A$56:$K$345,10,0)&amp;""</f>
        <v/>
      </c>
      <c r="K56" s="4">
        <f>IF($I56='Auto Responses'!$J$11,20,IF($I56='Auto Responses'!$J$13,5,10))</f>
        <v>20</v>
      </c>
      <c r="L56" s="107">
        <f>IF($E56='Auto Responses'!$L$13, 'Auto Responses'!$J$5,IF(AND($D56='Auto Responses'!$J$27,$H56=""),'Auto Responses'!$J$5,IF(AND($D56='Auto Responses'!$J$27,$H56='Auto Responses'!$J$7),1,IF(AND($D56='Auto Responses'!$J$27,$H56='Auto Responses'!$J$8),0,IF(OR(AND($F56=$G56,$H56=""),$H56='Auto Responses'!$J$7),1,0)))))</f>
        <v>0</v>
      </c>
      <c r="M56" s="4" t="str">
        <f>VLOOKUP($A56,'Institution Evaluation'!$A$56:$K$345,11,0)&amp;""</f>
        <v>FALSE</v>
      </c>
      <c r="N56" s="4">
        <f>IF($J56='Auto Responses'!$J$11,1,IF(AND($J56="",$I56='Auto Responses'!$J$11),1,0))</f>
        <v>1</v>
      </c>
      <c r="O56" s="107" t="str">
        <f>IF(OR($F$19='Auto Responses'!$J$4,$E56='Auto Responses'!$L$13,$F56='Auto Responses'!$J$5),'Auto Responses'!$J$5,IF($J56="",$K56,IF($J56='Auto Responses'!$J$13,5,IF($J56='Auto Responses'!$J$12,10,IF($J56='Auto Responses'!$J$11,20,0)))))</f>
        <v>N/A</v>
      </c>
      <c r="P56" s="107" t="str">
        <f>IF(OR($O56='Auto Responses'!$J$5,$L56='Auto Responses'!$J$5),'Auto Responses'!$J$5,$O56*$L56)</f>
        <v>N/A</v>
      </c>
      <c r="Q56" s="107">
        <f t="shared" si="1"/>
        <v>0</v>
      </c>
      <c r="R56" s="107">
        <f t="shared" si="5"/>
        <v>0</v>
      </c>
      <c r="S56" s="107">
        <f t="shared" si="2"/>
        <v>0</v>
      </c>
      <c r="T56" s="107">
        <f t="shared" si="3"/>
        <v>1</v>
      </c>
      <c r="U56" s="107">
        <f t="shared" si="6"/>
        <v>12</v>
      </c>
      <c r="V56" s="107">
        <f t="shared" si="4"/>
        <v>12</v>
      </c>
    </row>
    <row r="57" spans="1:22" ht="55.2" x14ac:dyDescent="0.3">
      <c r="A57" s="4" t="str">
        <f>Questions!$A57</f>
        <v>CONS-03</v>
      </c>
      <c r="B57" s="4" t="str">
        <f t="shared" si="0"/>
        <v>CONS</v>
      </c>
      <c r="C57" s="4" t="str">
        <f>VLOOKUP($A57,Questions!$A$3:$L$333,2,0)&amp;""</f>
        <v>Is the data encrypted (at rest) while in the consultant's possession?*</v>
      </c>
      <c r="D57" s="4" t="str">
        <f>VLOOKUP($A57,Questions!$A$3:$L$333,11,0)&amp;""</f>
        <v/>
      </c>
      <c r="E57" s="4" t="str">
        <f>VLOOKUP($A57,Questions!$A$3:$L$333,12,0)&amp;""</f>
        <v>Case-Specific</v>
      </c>
      <c r="F57" s="4" t="str">
        <f>VLOOKUP($A57,'Institution Evaluation'!$A$56:$K$345,3,0)&amp;""</f>
        <v/>
      </c>
      <c r="G57" s="4" t="str">
        <f>VLOOKUP($A57,'Institution Evaluation'!$A$56:$K$345,7,0)&amp;""</f>
        <v>Yes</v>
      </c>
      <c r="H57" s="4" t="str">
        <f>VLOOKUP($A57,'Institution Evaluation'!$A$56:$K$345,8,0)&amp;""</f>
        <v/>
      </c>
      <c r="I57" s="4" t="str">
        <f>VLOOKUP($A57,'Institution Evaluation'!$A$56:$K$345,9,0)&amp;""</f>
        <v>Critical Importance</v>
      </c>
      <c r="J57" s="4" t="str">
        <f>VLOOKUP($A57,'Institution Evaluation'!$A$56:$K$345,10,0)&amp;""</f>
        <v/>
      </c>
      <c r="K57" s="4">
        <f>IF($I57='Auto Responses'!$J$11,20,IF($I57='Auto Responses'!$J$13,5,10))</f>
        <v>20</v>
      </c>
      <c r="L57" s="107">
        <f>IF($E57='Auto Responses'!$L$13, 'Auto Responses'!$J$5,IF(AND($D57='Auto Responses'!$J$27,$H57=""),'Auto Responses'!$J$5,IF(AND($D57='Auto Responses'!$J$27,$H57='Auto Responses'!$J$7),1,IF(AND($D57='Auto Responses'!$J$27,$H57='Auto Responses'!$J$8),0,IF(OR(AND($F57=$G57,$H57=""),$H57='Auto Responses'!$J$7),1,0)))))</f>
        <v>0</v>
      </c>
      <c r="M57" s="4" t="str">
        <f>VLOOKUP($A57,'Institution Evaluation'!$A$56:$K$345,11,0)&amp;""</f>
        <v>FALSE</v>
      </c>
      <c r="N57" s="4">
        <f>IF($J57='Auto Responses'!$J$11,1,IF(AND($J57="",$I57='Auto Responses'!$J$11),1,0))</f>
        <v>1</v>
      </c>
      <c r="O57" s="107" t="str">
        <f>IF(OR($F$19='Auto Responses'!$J$4,$E57='Auto Responses'!$L$13,$F57='Auto Responses'!$J$5),'Auto Responses'!$J$5,IF($J57="",$K57,IF($J57='Auto Responses'!$J$13,5,IF($J57='Auto Responses'!$J$12,10,IF($J57='Auto Responses'!$J$11,20,0)))))</f>
        <v>N/A</v>
      </c>
      <c r="P57" s="107" t="str">
        <f>IF(OR($O57='Auto Responses'!$J$5,$L57='Auto Responses'!$J$5),'Auto Responses'!$J$5,$O57*$L57)</f>
        <v>N/A</v>
      </c>
      <c r="Q57" s="107">
        <f t="shared" si="1"/>
        <v>0</v>
      </c>
      <c r="R57" s="107">
        <f t="shared" si="5"/>
        <v>0</v>
      </c>
      <c r="S57" s="107">
        <f t="shared" si="2"/>
        <v>0</v>
      </c>
      <c r="T57" s="107">
        <f t="shared" si="3"/>
        <v>1</v>
      </c>
      <c r="U57" s="107">
        <f t="shared" si="6"/>
        <v>13</v>
      </c>
      <c r="V57" s="107">
        <f t="shared" si="4"/>
        <v>13</v>
      </c>
    </row>
    <row r="58" spans="1:22" ht="55.2" x14ac:dyDescent="0.3">
      <c r="A58" s="4" t="str">
        <f>Questions!$A58</f>
        <v>CONS-04</v>
      </c>
      <c r="B58" s="4" t="str">
        <f t="shared" si="0"/>
        <v>CONS</v>
      </c>
      <c r="C58" s="4" t="str">
        <f>VLOOKUP($A58,Questions!$A$3:$L$333,2,0)&amp;""</f>
        <v>Can access be restricted based on source IP address?*</v>
      </c>
      <c r="D58" s="4" t="str">
        <f>VLOOKUP($A58,Questions!$A$3:$L$333,11,0)&amp;""</f>
        <v/>
      </c>
      <c r="E58" s="4" t="str">
        <f>VLOOKUP($A58,Questions!$A$3:$L$333,12,0)&amp;""</f>
        <v>Case-Specific</v>
      </c>
      <c r="F58" s="4" t="str">
        <f>VLOOKUP($A58,'Institution Evaluation'!$A$56:$K$345,3,0)&amp;""</f>
        <v/>
      </c>
      <c r="G58" s="4" t="str">
        <f>VLOOKUP($A58,'Institution Evaluation'!$A$56:$K$345,7,0)&amp;""</f>
        <v>Yes</v>
      </c>
      <c r="H58" s="4" t="str">
        <f>VLOOKUP($A58,'Institution Evaluation'!$A$56:$K$345,8,0)&amp;""</f>
        <v/>
      </c>
      <c r="I58" s="4" t="str">
        <f>VLOOKUP($A58,'Institution Evaluation'!$A$56:$K$345,9,0)&amp;""</f>
        <v>Critical Importance</v>
      </c>
      <c r="J58" s="4" t="str">
        <f>VLOOKUP($A58,'Institution Evaluation'!$A$56:$K$345,10,0)&amp;""</f>
        <v/>
      </c>
      <c r="K58" s="4">
        <f>IF($I58='Auto Responses'!$J$11,20,IF($I58='Auto Responses'!$J$13,5,10))</f>
        <v>20</v>
      </c>
      <c r="L58" s="107">
        <f>IF($E58='Auto Responses'!$L$13, 'Auto Responses'!$J$5,IF(AND($D58='Auto Responses'!$J$27,$H58=""),'Auto Responses'!$J$5,IF(AND($D58='Auto Responses'!$J$27,$H58='Auto Responses'!$J$7),1,IF(AND($D58='Auto Responses'!$J$27,$H58='Auto Responses'!$J$8),0,IF(OR(AND($F58=$G58,$H58=""),$H58='Auto Responses'!$J$7),1,0)))))</f>
        <v>0</v>
      </c>
      <c r="M58" s="4" t="str">
        <f>VLOOKUP($A58,'Institution Evaluation'!$A$56:$K$345,11,0)&amp;""</f>
        <v>FALSE</v>
      </c>
      <c r="N58" s="4">
        <f>IF($J58='Auto Responses'!$J$11,1,IF(AND($J58="",$I58='Auto Responses'!$J$11),1,0))</f>
        <v>1</v>
      </c>
      <c r="O58" s="107" t="str">
        <f>IF(OR($F$19='Auto Responses'!$J$4,$E58='Auto Responses'!$L$13,$F58='Auto Responses'!$J$5),'Auto Responses'!$J$5,IF($J58="",$K58,IF($J58='Auto Responses'!$J$13,5,IF($J58='Auto Responses'!$J$12,10,IF($J58='Auto Responses'!$J$11,20,0)))))</f>
        <v>N/A</v>
      </c>
      <c r="P58" s="107" t="str">
        <f>IF(OR($O58='Auto Responses'!$J$5,$L58='Auto Responses'!$J$5),'Auto Responses'!$J$5,$O58*$L58)</f>
        <v>N/A</v>
      </c>
      <c r="Q58" s="107">
        <f t="shared" si="1"/>
        <v>0</v>
      </c>
      <c r="R58" s="107">
        <f t="shared" si="5"/>
        <v>0</v>
      </c>
      <c r="S58" s="107">
        <f t="shared" si="2"/>
        <v>0</v>
      </c>
      <c r="T58" s="107">
        <f t="shared" si="3"/>
        <v>1</v>
      </c>
      <c r="U58" s="107">
        <f t="shared" si="6"/>
        <v>14</v>
      </c>
      <c r="V58" s="107">
        <f t="shared" si="4"/>
        <v>14</v>
      </c>
    </row>
    <row r="59" spans="1:22" ht="55.2" x14ac:dyDescent="0.3">
      <c r="A59" s="4" t="str">
        <f>Questions!$A59</f>
        <v>CONS-05</v>
      </c>
      <c r="B59" s="4" t="str">
        <f t="shared" si="0"/>
        <v>CONS</v>
      </c>
      <c r="C59" s="4" t="str">
        <f>VLOOKUP($A59,Questions!$A$3:$L$333,2,0)&amp;""</f>
        <v>Will the consulting take place on-premises?</v>
      </c>
      <c r="D59" s="4" t="str">
        <f>VLOOKUP($A59,Questions!$A$3:$L$333,11,0)&amp;""</f>
        <v/>
      </c>
      <c r="E59" s="4" t="str">
        <f>VLOOKUP($A59,Questions!$A$3:$L$333,12,0)&amp;""</f>
        <v>Case-Specific</v>
      </c>
      <c r="F59" s="4" t="str">
        <f>VLOOKUP($A59,'Institution Evaluation'!$A$56:$K$345,3,0)&amp;""</f>
        <v/>
      </c>
      <c r="G59" s="4" t="str">
        <f>VLOOKUP($A59,'Institution Evaluation'!$A$56:$K$345,7,0)&amp;""</f>
        <v>No</v>
      </c>
      <c r="H59" s="4" t="str">
        <f>VLOOKUP($A59,'Institution Evaluation'!$A$56:$K$345,8,0)&amp;""</f>
        <v/>
      </c>
      <c r="I59" s="4" t="str">
        <f>VLOOKUP($A59,'Institution Evaluation'!$A$56:$K$345,9,0)&amp;""</f>
        <v>Standard Importance</v>
      </c>
      <c r="J59" s="4" t="str">
        <f>VLOOKUP($A59,'Institution Evaluation'!$A$56:$K$345,10,0)&amp;""</f>
        <v/>
      </c>
      <c r="K59" s="4">
        <f>IF($I59='Auto Responses'!$J$11,20,IF($I59='Auto Responses'!$J$13,5,10))</f>
        <v>10</v>
      </c>
      <c r="L59" s="107">
        <f>IF($E59='Auto Responses'!$L$13, 'Auto Responses'!$J$5,IF(AND($D59='Auto Responses'!$J$27,$H59=""),'Auto Responses'!$J$5,IF(AND($D59='Auto Responses'!$J$27,$H59='Auto Responses'!$J$7),1,IF(AND($D59='Auto Responses'!$J$27,$H59='Auto Responses'!$J$8),0,IF(OR(AND($F59=$G59,$H59=""),$H59='Auto Responses'!$J$7),1,0)))))</f>
        <v>0</v>
      </c>
      <c r="M59" s="4" t="str">
        <f>VLOOKUP($A59,'Institution Evaluation'!$A$56:$K$345,11,0)&amp;""</f>
        <v>FALSE</v>
      </c>
      <c r="N59" s="4">
        <f>IF($J59='Auto Responses'!$J$11,1,IF(AND($J59="",$I59='Auto Responses'!$J$11),1,0))</f>
        <v>0</v>
      </c>
      <c r="O59" s="107" t="str">
        <f>IF(OR($F$19='Auto Responses'!$J$4,$E59='Auto Responses'!$L$13,$F59='Auto Responses'!$J$5),'Auto Responses'!$J$5,IF($J59="",$K59,IF($J59='Auto Responses'!$J$13,5,IF($J59='Auto Responses'!$J$12,10,IF($J59='Auto Responses'!$J$11,20,0)))))</f>
        <v>N/A</v>
      </c>
      <c r="P59" s="107" t="str">
        <f>IF(OR($O59='Auto Responses'!$J$5,$L59='Auto Responses'!$J$5),'Auto Responses'!$J$5,$O59*$L59)</f>
        <v>N/A</v>
      </c>
      <c r="Q59" s="107">
        <f t="shared" si="1"/>
        <v>0</v>
      </c>
      <c r="R59" s="107">
        <f t="shared" si="5"/>
        <v>0</v>
      </c>
      <c r="S59" s="107">
        <f t="shared" si="2"/>
        <v>0</v>
      </c>
      <c r="T59" s="107">
        <f t="shared" si="3"/>
        <v>0</v>
      </c>
      <c r="U59" s="107">
        <f t="shared" si="6"/>
        <v>14</v>
      </c>
      <c r="V59" s="107">
        <f t="shared" si="4"/>
        <v>0</v>
      </c>
    </row>
    <row r="60" spans="1:22" ht="55.2" x14ac:dyDescent="0.3">
      <c r="A60" s="4" t="str">
        <f>Questions!$A60</f>
        <v>CONS-06</v>
      </c>
      <c r="B60" s="4" t="str">
        <f t="shared" si="0"/>
        <v>CONS</v>
      </c>
      <c r="C60" s="4" t="str">
        <f>VLOOKUP($A60,Questions!$A$3:$L$333,2,0)&amp;""</f>
        <v>Will the consultant require access to hardware in the institution's data centers?</v>
      </c>
      <c r="D60" s="4" t="str">
        <f>VLOOKUP($A60,Questions!$A$3:$L$333,11,0)&amp;""</f>
        <v/>
      </c>
      <c r="E60" s="4" t="str">
        <f>VLOOKUP($A60,Questions!$A$3:$L$333,12,0)&amp;""</f>
        <v>Case-Specific</v>
      </c>
      <c r="F60" s="4" t="str">
        <f>VLOOKUP($A60,'Institution Evaluation'!$A$56:$K$345,3,0)&amp;""</f>
        <v/>
      </c>
      <c r="G60" s="4" t="str">
        <f>VLOOKUP($A60,'Institution Evaluation'!$A$56:$K$345,7,0)&amp;""</f>
        <v>No</v>
      </c>
      <c r="H60" s="4" t="str">
        <f>VLOOKUP($A60,'Institution Evaluation'!$A$56:$K$345,8,0)&amp;""</f>
        <v/>
      </c>
      <c r="I60" s="4" t="str">
        <f>VLOOKUP($A60,'Institution Evaluation'!$A$56:$K$345,9,0)&amp;""</f>
        <v>Standard Importance</v>
      </c>
      <c r="J60" s="4" t="str">
        <f>VLOOKUP($A60,'Institution Evaluation'!$A$56:$K$345,10,0)&amp;""</f>
        <v/>
      </c>
      <c r="K60" s="4">
        <f>IF($I60='Auto Responses'!$J$11,20,IF($I60='Auto Responses'!$J$13,5,10))</f>
        <v>10</v>
      </c>
      <c r="L60" s="107">
        <f>IF($E60='Auto Responses'!$L$13, 'Auto Responses'!$J$5,IF(AND($D60='Auto Responses'!$J$27,$H60=""),'Auto Responses'!$J$5,IF(AND($D60='Auto Responses'!$J$27,$H60='Auto Responses'!$J$7),1,IF(AND($D60='Auto Responses'!$J$27,$H60='Auto Responses'!$J$8),0,IF(OR(AND($F60=$G60,$H60=""),$H60='Auto Responses'!$J$7),1,0)))))</f>
        <v>0</v>
      </c>
      <c r="M60" s="4" t="str">
        <f>VLOOKUP($A60,'Institution Evaluation'!$A$56:$K$345,11,0)&amp;""</f>
        <v>FALSE</v>
      </c>
      <c r="N60" s="4">
        <f>IF($J60='Auto Responses'!$J$11,1,IF(AND($J60="",$I60='Auto Responses'!$J$11),1,0))</f>
        <v>0</v>
      </c>
      <c r="O60" s="107" t="str">
        <f>IF(OR($F$19='Auto Responses'!$J$4,$E60='Auto Responses'!$L$13,$F60='Auto Responses'!$J$5),'Auto Responses'!$J$5,IF($J60="",$K60,IF($J60='Auto Responses'!$J$13,5,IF($J60='Auto Responses'!$J$12,10,IF($J60='Auto Responses'!$J$11,20,0)))))</f>
        <v>N/A</v>
      </c>
      <c r="P60" s="107" t="str">
        <f>IF(OR($O60='Auto Responses'!$J$5,$L60='Auto Responses'!$J$5),'Auto Responses'!$J$5,$O60*$L60)</f>
        <v>N/A</v>
      </c>
      <c r="Q60" s="107">
        <f t="shared" si="1"/>
        <v>0</v>
      </c>
      <c r="R60" s="107">
        <f t="shared" si="5"/>
        <v>0</v>
      </c>
      <c r="S60" s="107">
        <f t="shared" si="2"/>
        <v>0</v>
      </c>
      <c r="T60" s="107">
        <f t="shared" si="3"/>
        <v>0</v>
      </c>
      <c r="U60" s="107">
        <f t="shared" si="6"/>
        <v>14</v>
      </c>
      <c r="V60" s="107">
        <f t="shared" si="4"/>
        <v>0</v>
      </c>
    </row>
    <row r="61" spans="1:22" ht="55.2" x14ac:dyDescent="0.3">
      <c r="A61" s="4" t="str">
        <f>Questions!$A61</f>
        <v>CONS-07</v>
      </c>
      <c r="B61" s="4" t="str">
        <f t="shared" si="0"/>
        <v>CONS</v>
      </c>
      <c r="C61" s="4" t="str">
        <f>VLOOKUP($A61,Questions!$A$3:$L$333,2,0)&amp;""</f>
        <v>Will the consultant require an account within the institution's domain (@*.edu)?</v>
      </c>
      <c r="D61" s="4" t="str">
        <f>VLOOKUP($A61,Questions!$A$3:$L$333,11,0)&amp;""</f>
        <v/>
      </c>
      <c r="E61" s="4" t="str">
        <f>VLOOKUP($A61,Questions!$A$3:$L$333,12,0)&amp;""</f>
        <v>Case-Specific</v>
      </c>
      <c r="F61" s="4" t="str">
        <f>VLOOKUP($A61,'Institution Evaluation'!$A$56:$K$345,3,0)&amp;""</f>
        <v/>
      </c>
      <c r="G61" s="4" t="str">
        <f>VLOOKUP($A61,'Institution Evaluation'!$A$56:$K$345,7,0)&amp;""</f>
        <v>No</v>
      </c>
      <c r="H61" s="4" t="str">
        <f>VLOOKUP($A61,'Institution Evaluation'!$A$56:$K$345,8,0)&amp;""</f>
        <v/>
      </c>
      <c r="I61" s="4" t="str">
        <f>VLOOKUP($A61,'Institution Evaluation'!$A$56:$K$345,9,0)&amp;""</f>
        <v>Standard Importance</v>
      </c>
      <c r="J61" s="4" t="str">
        <f>VLOOKUP($A61,'Institution Evaluation'!$A$56:$K$345,10,0)&amp;""</f>
        <v/>
      </c>
      <c r="K61" s="4">
        <f>IF($I61='Auto Responses'!$J$11,20,IF($I61='Auto Responses'!$J$13,5,10))</f>
        <v>10</v>
      </c>
      <c r="L61" s="107">
        <f>IF($E61='Auto Responses'!$L$13, 'Auto Responses'!$J$5,IF(AND($D61='Auto Responses'!$J$27,$H61=""),'Auto Responses'!$J$5,IF(AND($D61='Auto Responses'!$J$27,$H61='Auto Responses'!$J$7),1,IF(AND($D61='Auto Responses'!$J$27,$H61='Auto Responses'!$J$8),0,IF(OR(AND($F61=$G61,$H61=""),$H61='Auto Responses'!$J$7),1,0)))))</f>
        <v>0</v>
      </c>
      <c r="M61" s="4" t="str">
        <f>VLOOKUP($A61,'Institution Evaluation'!$A$56:$K$345,11,0)&amp;""</f>
        <v>FALSE</v>
      </c>
      <c r="N61" s="4">
        <f>IF($J61='Auto Responses'!$J$11,1,IF(AND($J61="",$I61='Auto Responses'!$J$11),1,0))</f>
        <v>0</v>
      </c>
      <c r="O61" s="107" t="str">
        <f>IF(OR($F$19='Auto Responses'!$J$4,$E61='Auto Responses'!$L$13,$F61='Auto Responses'!$J$5),'Auto Responses'!$J$5,IF($J61="",$K61,IF($J61='Auto Responses'!$J$13,5,IF($J61='Auto Responses'!$J$12,10,IF($J61='Auto Responses'!$J$11,20,0)))))</f>
        <v>N/A</v>
      </c>
      <c r="P61" s="107" t="str">
        <f>IF(OR($O61='Auto Responses'!$J$5,$L61='Auto Responses'!$J$5),'Auto Responses'!$J$5,$O61*$L61)</f>
        <v>N/A</v>
      </c>
      <c r="Q61" s="107">
        <f t="shared" si="1"/>
        <v>0</v>
      </c>
      <c r="R61" s="107">
        <f t="shared" si="5"/>
        <v>0</v>
      </c>
      <c r="S61" s="107">
        <f t="shared" si="2"/>
        <v>0</v>
      </c>
      <c r="T61" s="107">
        <f t="shared" si="3"/>
        <v>0</v>
      </c>
      <c r="U61" s="107">
        <f t="shared" si="6"/>
        <v>14</v>
      </c>
      <c r="V61" s="107">
        <f t="shared" si="4"/>
        <v>0</v>
      </c>
    </row>
    <row r="62" spans="1:22" ht="55.2" x14ac:dyDescent="0.3">
      <c r="A62" s="4" t="str">
        <f>Questions!$A62</f>
        <v>CONS-08</v>
      </c>
      <c r="B62" s="4" t="str">
        <f t="shared" si="0"/>
        <v>CONS</v>
      </c>
      <c r="C62" s="4" t="str">
        <f>VLOOKUP($A62,Questions!$A$3:$L$333,2,0)&amp;""</f>
        <v>Will any data be transferred to the consultant's possession?</v>
      </c>
      <c r="D62" s="4" t="str">
        <f>VLOOKUP($A62,Questions!$A$3:$L$333,11,0)&amp;""</f>
        <v/>
      </c>
      <c r="E62" s="4" t="str">
        <f>VLOOKUP($A62,Questions!$A$3:$L$333,12,0)&amp;""</f>
        <v>Case-Specific</v>
      </c>
      <c r="F62" s="4" t="str">
        <f>VLOOKUP($A62,'Institution Evaluation'!$A$56:$K$345,3,0)&amp;""</f>
        <v/>
      </c>
      <c r="G62" s="4" t="str">
        <f>VLOOKUP($A62,'Institution Evaluation'!$A$56:$K$345,7,0)&amp;""</f>
        <v>No</v>
      </c>
      <c r="H62" s="4" t="str">
        <f>VLOOKUP($A62,'Institution Evaluation'!$A$56:$K$345,8,0)&amp;""</f>
        <v/>
      </c>
      <c r="I62" s="4" t="str">
        <f>VLOOKUP($A62,'Institution Evaluation'!$A$56:$K$345,9,0)&amp;""</f>
        <v>Standard Importance</v>
      </c>
      <c r="J62" s="4" t="str">
        <f>VLOOKUP($A62,'Institution Evaluation'!$A$56:$K$345,10,0)&amp;""</f>
        <v/>
      </c>
      <c r="K62" s="4">
        <f>IF($I62='Auto Responses'!$J$11,20,IF($I62='Auto Responses'!$J$13,5,10))</f>
        <v>10</v>
      </c>
      <c r="L62" s="107">
        <f>IF($E62='Auto Responses'!$L$13, 'Auto Responses'!$J$5,IF(AND($D62='Auto Responses'!$J$27,$H62=""),'Auto Responses'!$J$5,IF(AND($D62='Auto Responses'!$J$27,$H62='Auto Responses'!$J$7),1,IF(AND($D62='Auto Responses'!$J$27,$H62='Auto Responses'!$J$8),0,IF(OR(AND($F62=$G62,$H62=""),$H62='Auto Responses'!$J$7),1,0)))))</f>
        <v>0</v>
      </c>
      <c r="M62" s="4" t="str">
        <f>VLOOKUP($A62,'Institution Evaluation'!$A$56:$K$345,11,0)&amp;""</f>
        <v>FALSE</v>
      </c>
      <c r="N62" s="4">
        <f>IF($J62='Auto Responses'!$J$11,1,IF(AND($J62="",$I62='Auto Responses'!$J$11),1,0))</f>
        <v>0</v>
      </c>
      <c r="O62" s="107" t="str">
        <f>IF(OR($F$19='Auto Responses'!$J$4,$E62='Auto Responses'!$L$13,$F62='Auto Responses'!$J$5),'Auto Responses'!$J$5,IF($J62="",$K62,IF($J62='Auto Responses'!$J$13,5,IF($J62='Auto Responses'!$J$12,10,IF($J62='Auto Responses'!$J$11,20,0)))))</f>
        <v>N/A</v>
      </c>
      <c r="P62" s="107" t="str">
        <f>IF(OR($O62='Auto Responses'!$J$5,$L62='Auto Responses'!$J$5),'Auto Responses'!$J$5,$O62*$L62)</f>
        <v>N/A</v>
      </c>
      <c r="Q62" s="107">
        <f t="shared" si="1"/>
        <v>0</v>
      </c>
      <c r="R62" s="107">
        <f t="shared" si="5"/>
        <v>0</v>
      </c>
      <c r="S62" s="107">
        <f t="shared" si="2"/>
        <v>0</v>
      </c>
      <c r="T62" s="107">
        <f t="shared" si="3"/>
        <v>0</v>
      </c>
      <c r="U62" s="107">
        <f t="shared" si="6"/>
        <v>14</v>
      </c>
      <c r="V62" s="107">
        <f t="shared" si="4"/>
        <v>0</v>
      </c>
    </row>
    <row r="63" spans="1:22" ht="55.2" x14ac:dyDescent="0.3">
      <c r="A63" s="4" t="str">
        <f>Questions!$A63</f>
        <v>CONS-09</v>
      </c>
      <c r="B63" s="4" t="str">
        <f t="shared" si="0"/>
        <v>CONS</v>
      </c>
      <c r="C63" s="4" t="str">
        <f>VLOOKUP($A63,Questions!$A$3:$L$333,2,0)&amp;""</f>
        <v>Will the consultant need remote access to the institution's network or systems?</v>
      </c>
      <c r="D63" s="4" t="str">
        <f>VLOOKUP($A63,Questions!$A$3:$L$333,11,0)&amp;""</f>
        <v/>
      </c>
      <c r="E63" s="4" t="str">
        <f>VLOOKUP($A63,Questions!$A$3:$L$333,12,0)&amp;""</f>
        <v>Case-Specific</v>
      </c>
      <c r="F63" s="4" t="str">
        <f>VLOOKUP($A63,'Institution Evaluation'!$A$56:$K$345,3,0)&amp;""</f>
        <v/>
      </c>
      <c r="G63" s="4" t="str">
        <f>VLOOKUP($A63,'Institution Evaluation'!$A$56:$K$345,7,0)&amp;""</f>
        <v>No</v>
      </c>
      <c r="H63" s="4" t="str">
        <f>VLOOKUP($A63,'Institution Evaluation'!$A$56:$K$345,8,0)&amp;""</f>
        <v/>
      </c>
      <c r="I63" s="4" t="str">
        <f>VLOOKUP($A63,'Institution Evaluation'!$A$56:$K$345,9,0)&amp;""</f>
        <v>Standard Importance</v>
      </c>
      <c r="J63" s="4" t="str">
        <f>VLOOKUP($A63,'Institution Evaluation'!$A$56:$K$345,10,0)&amp;""</f>
        <v/>
      </c>
      <c r="K63" s="4">
        <f>IF($I63='Auto Responses'!$J$11,20,IF($I63='Auto Responses'!$J$13,5,10))</f>
        <v>10</v>
      </c>
      <c r="L63" s="107">
        <f>IF($E63='Auto Responses'!$L$13, 'Auto Responses'!$J$5,IF(AND($D63='Auto Responses'!$J$27,$H63=""),'Auto Responses'!$J$5,IF(AND($D63='Auto Responses'!$J$27,$H63='Auto Responses'!$J$7),1,IF(AND($D63='Auto Responses'!$J$27,$H63='Auto Responses'!$J$8),0,IF(OR(AND($F63=$G63,$H63=""),$H63='Auto Responses'!$J$7),1,0)))))</f>
        <v>0</v>
      </c>
      <c r="M63" s="4" t="str">
        <f>VLOOKUP($A63,'Institution Evaluation'!$A$56:$K$345,11,0)&amp;""</f>
        <v>FALSE</v>
      </c>
      <c r="N63" s="4">
        <f>IF($J63='Auto Responses'!$J$11,1,IF(AND($J63="",$I63='Auto Responses'!$J$11),1,0))</f>
        <v>0</v>
      </c>
      <c r="O63" s="107" t="str">
        <f>IF(OR($F$19='Auto Responses'!$J$4,$E63='Auto Responses'!$L$13,$F63='Auto Responses'!$J$5),'Auto Responses'!$J$5,IF($J63="",$K63,IF($J63='Auto Responses'!$J$13,5,IF($J63='Auto Responses'!$J$12,10,IF($J63='Auto Responses'!$J$11,20,0)))))</f>
        <v>N/A</v>
      </c>
      <c r="P63" s="107" t="str">
        <f>IF(OR($O63='Auto Responses'!$J$5,$L63='Auto Responses'!$J$5),'Auto Responses'!$J$5,$O63*$L63)</f>
        <v>N/A</v>
      </c>
      <c r="Q63" s="107">
        <f t="shared" si="1"/>
        <v>0</v>
      </c>
      <c r="R63" s="107">
        <f t="shared" si="5"/>
        <v>0</v>
      </c>
      <c r="S63" s="107">
        <f t="shared" si="2"/>
        <v>0</v>
      </c>
      <c r="T63" s="107">
        <f t="shared" si="3"/>
        <v>0</v>
      </c>
      <c r="U63" s="107">
        <f t="shared" si="6"/>
        <v>14</v>
      </c>
      <c r="V63" s="107">
        <f t="shared" si="4"/>
        <v>0</v>
      </c>
    </row>
    <row r="64" spans="1:22" ht="55.2" x14ac:dyDescent="0.3">
      <c r="A64" s="4" t="str">
        <f>Questions!$A64</f>
        <v>APPL-01</v>
      </c>
      <c r="B64" s="4" t="str">
        <f t="shared" si="0"/>
        <v>APPL</v>
      </c>
      <c r="C64" s="4" t="str">
        <f>VLOOKUP($A64,Questions!$A$3:$L$333,2,0)&amp;""</f>
        <v>Are access controls for institutional accounts based on structured rules, such as role-based access control (RBAC), attribute-based access control (ABAC), or policy-based access control (PBAC)?*</v>
      </c>
      <c r="D64" s="4" t="str">
        <f>VLOOKUP($A64,Questions!$A$3:$L$333,11,0)&amp;""</f>
        <v/>
      </c>
      <c r="E64" s="4" t="str">
        <f>VLOOKUP($A64,Questions!$A$3:$L$333,12,0)&amp;""</f>
        <v>Infrastructure</v>
      </c>
      <c r="F64" s="4" t="str">
        <f>VLOOKUP($A64,'Institution Evaluation'!$A$56:$K$345,3,0)&amp;""</f>
        <v>Yes</v>
      </c>
      <c r="G64" s="4" t="str">
        <f>VLOOKUP($A64,'Institution Evaluation'!$A$56:$K$345,7,0)&amp;""</f>
        <v>Yes</v>
      </c>
      <c r="H64" s="4" t="str">
        <f>VLOOKUP($A64,'Institution Evaluation'!$A$56:$K$345,8,0)&amp;""</f>
        <v/>
      </c>
      <c r="I64" s="4" t="str">
        <f>VLOOKUP($A64,'Institution Evaluation'!$A$56:$K$345,9,0)&amp;""</f>
        <v>Critical Importance</v>
      </c>
      <c r="J64" s="4" t="str">
        <f>VLOOKUP($A64,'Institution Evaluation'!$A$56:$K$345,10,0)&amp;""</f>
        <v/>
      </c>
      <c r="K64" s="4">
        <f>IF($I64='Auto Responses'!$J$11,20,IF($I64='Auto Responses'!$J$13,5,10))</f>
        <v>20</v>
      </c>
      <c r="L64" s="107">
        <f>IF($E64='Auto Responses'!$L$13, 'Auto Responses'!$J$5,IF(AND($D64='Auto Responses'!$J$27,$H64=""),'Auto Responses'!$J$5,IF(AND($D64='Auto Responses'!$J$27,$H64='Auto Responses'!$J$7),1,IF(AND($D64='Auto Responses'!$J$27,$H64='Auto Responses'!$J$8),0,IF(OR(AND($F64=$G64,$H64=""),$H64='Auto Responses'!$J$7),1,0)))))</f>
        <v>1</v>
      </c>
      <c r="M64" s="4" t="str">
        <f>VLOOKUP($A64,'Institution Evaluation'!$A$56:$K$345,11,0)&amp;""</f>
        <v>FALSE</v>
      </c>
      <c r="N64" s="4">
        <f>IF($J64='Auto Responses'!$J$11,1,IF(AND($J64="",$I64='Auto Responses'!$J$11),1,0))</f>
        <v>1</v>
      </c>
      <c r="O64" s="107">
        <f>IF(OR($F$17='Auto Responses'!$J$4,$E64='Auto Responses'!$L$13,$F64='Auto Responses'!$J$5),'Auto Responses'!$J$5,IF($J64="",$K64,IF($J64='Auto Responses'!$J$13,5,IF($J64='Auto Responses'!$J$12,10,IF($J64='Auto Responses'!$J$11,20,0)))))</f>
        <v>20</v>
      </c>
      <c r="P64" s="107">
        <f>IF(OR($O64='Auto Responses'!$J$5,$L64='Auto Responses'!$J$5),'Auto Responses'!$J$5,$O64*$L64)</f>
        <v>20</v>
      </c>
      <c r="Q64" s="107">
        <f t="shared" si="1"/>
        <v>0</v>
      </c>
      <c r="R64" s="107">
        <f t="shared" si="5"/>
        <v>0</v>
      </c>
      <c r="S64" s="107">
        <f t="shared" si="2"/>
        <v>0</v>
      </c>
      <c r="T64" s="107">
        <f t="shared" si="3"/>
        <v>1</v>
      </c>
      <c r="U64" s="107">
        <f t="shared" si="6"/>
        <v>15</v>
      </c>
      <c r="V64" s="107">
        <f t="shared" si="4"/>
        <v>15</v>
      </c>
    </row>
    <row r="65" spans="1:22" ht="55.2" x14ac:dyDescent="0.3">
      <c r="A65" s="4" t="str">
        <f>Questions!$A65</f>
        <v>APPL-02</v>
      </c>
      <c r="B65" s="4" t="str">
        <f t="shared" si="0"/>
        <v>APPL</v>
      </c>
      <c r="C65" s="4" t="str">
        <f>VLOOKUP($A65,Questions!$A$3:$L$333,2,0)&amp;""</f>
        <v>Are you using a web application firewall (WAF)?*</v>
      </c>
      <c r="D65" s="4" t="str">
        <f>VLOOKUP($A65,Questions!$A$3:$L$333,11,0)&amp;""</f>
        <v/>
      </c>
      <c r="E65" s="4" t="str">
        <f>VLOOKUP($A65,Questions!$A$3:$L$333,12,0)&amp;""</f>
        <v>Infrastructure</v>
      </c>
      <c r="F65" s="4" t="str">
        <f>VLOOKUP($A65,'Institution Evaluation'!$A$56:$K$345,3,0)&amp;""</f>
        <v/>
      </c>
      <c r="G65" s="4" t="str">
        <f>VLOOKUP($A65,'Institution Evaluation'!$A$56:$K$345,7,0)&amp;""</f>
        <v>Yes</v>
      </c>
      <c r="H65" s="4" t="str">
        <f>VLOOKUP($A65,'Institution Evaluation'!$A$56:$K$345,8,0)&amp;""</f>
        <v/>
      </c>
      <c r="I65" s="4" t="str">
        <f>VLOOKUP($A65,'Institution Evaluation'!$A$56:$K$345,9,0)&amp;""</f>
        <v>Critical Importance</v>
      </c>
      <c r="J65" s="4" t="str">
        <f>VLOOKUP($A65,'Institution Evaluation'!$A$56:$K$345,10,0)&amp;""</f>
        <v/>
      </c>
      <c r="K65" s="4">
        <f>IF($I65='Auto Responses'!$J$11,20,IF($I65='Auto Responses'!$J$13,5,10))</f>
        <v>20</v>
      </c>
      <c r="L65" s="107">
        <f>IF($E65='Auto Responses'!$L$13, 'Auto Responses'!$J$5,IF(AND($D65='Auto Responses'!$J$27,$H65=""),'Auto Responses'!$J$5,IF(AND($D65='Auto Responses'!$J$27,$H65='Auto Responses'!$J$7),1,IF(AND($D65='Auto Responses'!$J$27,$H65='Auto Responses'!$J$8),0,IF(OR(AND($F65=$G65,$H65=""),$H65='Auto Responses'!$J$7),1,0)))))</f>
        <v>0</v>
      </c>
      <c r="M65" s="4" t="str">
        <f>VLOOKUP($A65,'Institution Evaluation'!$A$56:$K$345,11,0)&amp;""</f>
        <v>FALSE</v>
      </c>
      <c r="N65" s="4">
        <f>IF($J65='Auto Responses'!$J$11,1,IF(AND($J65="",$I65='Auto Responses'!$J$11),1,0))</f>
        <v>1</v>
      </c>
      <c r="O65" s="107">
        <f>IF(OR($F$17='Auto Responses'!$J$4,$E65='Auto Responses'!$L$13,$F65='Auto Responses'!$J$5),'Auto Responses'!$J$5,IF($J65="",$K65,IF($J65='Auto Responses'!$J$13,5,IF($J65='Auto Responses'!$J$12,10,IF($J65='Auto Responses'!$J$11,20,0)))))</f>
        <v>20</v>
      </c>
      <c r="P65" s="107">
        <f>IF(OR($O65='Auto Responses'!$J$5,$L65='Auto Responses'!$J$5),'Auto Responses'!$J$5,$O65*$L65)</f>
        <v>0</v>
      </c>
      <c r="Q65" s="107">
        <f t="shared" si="1"/>
        <v>0</v>
      </c>
      <c r="R65" s="107">
        <f t="shared" si="5"/>
        <v>0</v>
      </c>
      <c r="S65" s="107">
        <f t="shared" si="2"/>
        <v>0</v>
      </c>
      <c r="T65" s="107">
        <f t="shared" si="3"/>
        <v>1</v>
      </c>
      <c r="U65" s="107">
        <f t="shared" si="6"/>
        <v>16</v>
      </c>
      <c r="V65" s="107">
        <f t="shared" si="4"/>
        <v>16</v>
      </c>
    </row>
    <row r="66" spans="1:22" ht="55.2" x14ac:dyDescent="0.3">
      <c r="A66" s="4" t="str">
        <f>Questions!$A66</f>
        <v>APPL-03</v>
      </c>
      <c r="B66" s="4" t="str">
        <f t="shared" si="0"/>
        <v>APPL</v>
      </c>
      <c r="C66" s="4" t="str">
        <f>VLOOKUP($A66,Questions!$A$3:$L$333,2,0)&amp;""</f>
        <v>Are only currently supported operating system(s), software, and libraries leveraged by the system(s)/application(s) that will have access to institution's data?*</v>
      </c>
      <c r="D66" s="4" t="str">
        <f>VLOOKUP($A66,Questions!$A$3:$L$333,11,0)&amp;""</f>
        <v/>
      </c>
      <c r="E66" s="4" t="str">
        <f>VLOOKUP($A66,Questions!$A$3:$L$333,12,0)&amp;""</f>
        <v>Infrastructure</v>
      </c>
      <c r="F66" s="4" t="str">
        <f>VLOOKUP($A66,'Institution Evaluation'!$A$56:$K$345,3,0)&amp;""</f>
        <v>Yes</v>
      </c>
      <c r="G66" s="4" t="str">
        <f>VLOOKUP($A66,'Institution Evaluation'!$A$56:$K$345,7,0)&amp;""</f>
        <v>Yes</v>
      </c>
      <c r="H66" s="4" t="str">
        <f>VLOOKUP($A66,'Institution Evaluation'!$A$56:$K$345,8,0)&amp;""</f>
        <v/>
      </c>
      <c r="I66" s="4" t="str">
        <f>VLOOKUP($A66,'Institution Evaluation'!$A$56:$K$345,9,0)&amp;""</f>
        <v>Critical Importance</v>
      </c>
      <c r="J66" s="4" t="str">
        <f>VLOOKUP($A66,'Institution Evaluation'!$A$56:$K$345,10,0)&amp;""</f>
        <v/>
      </c>
      <c r="K66" s="4">
        <f>IF($I66='Auto Responses'!$J$11,20,IF($I66='Auto Responses'!$J$13,5,10))</f>
        <v>20</v>
      </c>
      <c r="L66" s="107">
        <f>IF($E66='Auto Responses'!$L$13, 'Auto Responses'!$J$5,IF(AND($D66='Auto Responses'!$J$27,$H66=""),'Auto Responses'!$J$5,IF(AND($D66='Auto Responses'!$J$27,$H66='Auto Responses'!$J$7),1,IF(AND($D66='Auto Responses'!$J$27,$H66='Auto Responses'!$J$8),0,IF(OR(AND($F66=$G66,$H66=""),$H66='Auto Responses'!$J$7),1,0)))))</f>
        <v>1</v>
      </c>
      <c r="M66" s="4" t="str">
        <f>VLOOKUP($A66,'Institution Evaluation'!$A$56:$K$345,11,0)&amp;""</f>
        <v>FALSE</v>
      </c>
      <c r="N66" s="4">
        <f>IF($J66='Auto Responses'!$J$11,1,IF(AND($J66="",$I66='Auto Responses'!$J$11),1,0))</f>
        <v>1</v>
      </c>
      <c r="O66" s="107">
        <f>IF(OR($F$17='Auto Responses'!$J$4,$E66='Auto Responses'!$L$13,$F66='Auto Responses'!$J$5),'Auto Responses'!$J$5,IF($J66="",$K66,IF($J66='Auto Responses'!$J$13,5,IF($J66='Auto Responses'!$J$12,10,IF($J66='Auto Responses'!$J$11,20,0)))))</f>
        <v>20</v>
      </c>
      <c r="P66" s="107">
        <f>IF(OR($O66='Auto Responses'!$J$5,$L66='Auto Responses'!$J$5),'Auto Responses'!$J$5,$O66*$L66)</f>
        <v>20</v>
      </c>
      <c r="Q66" s="107">
        <f t="shared" si="1"/>
        <v>0</v>
      </c>
      <c r="R66" s="107">
        <f t="shared" si="5"/>
        <v>0</v>
      </c>
      <c r="S66" s="107">
        <f t="shared" si="2"/>
        <v>0</v>
      </c>
      <c r="T66" s="107">
        <f t="shared" si="3"/>
        <v>1</v>
      </c>
      <c r="U66" s="107">
        <f t="shared" si="6"/>
        <v>17</v>
      </c>
      <c r="V66" s="107">
        <f t="shared" si="4"/>
        <v>17</v>
      </c>
    </row>
    <row r="67" spans="1:22" ht="55.2" x14ac:dyDescent="0.3">
      <c r="A67" s="4" t="str">
        <f>Questions!$A67</f>
        <v>APPL-04</v>
      </c>
      <c r="B67" s="4" t="str">
        <f t="shared" si="0"/>
        <v>APPL</v>
      </c>
      <c r="C67" s="4" t="str">
        <f>VLOOKUP($A67,Questions!$A$3:$L$333,2,0)&amp;""</f>
        <v>Does your application require access to location or GPS data?*</v>
      </c>
      <c r="D67" s="4" t="str">
        <f>VLOOKUP($A67,Questions!$A$3:$L$333,11,0)&amp;""</f>
        <v/>
      </c>
      <c r="E67" s="4" t="str">
        <f>VLOOKUP($A67,Questions!$A$3:$L$333,12,0)&amp;""</f>
        <v>Infrastructure</v>
      </c>
      <c r="F67" s="4" t="str">
        <f>VLOOKUP($A67,'Institution Evaluation'!$A$56:$K$345,3,0)&amp;""</f>
        <v>No</v>
      </c>
      <c r="G67" s="4" t="str">
        <f>VLOOKUP($A67,'Institution Evaluation'!$A$56:$K$345,7,0)&amp;""</f>
        <v>No</v>
      </c>
      <c r="H67" s="4" t="str">
        <f>VLOOKUP($A67,'Institution Evaluation'!$A$56:$K$345,8,0)&amp;""</f>
        <v/>
      </c>
      <c r="I67" s="4" t="str">
        <f>VLOOKUP($A67,'Institution Evaluation'!$A$56:$K$345,9,0)&amp;""</f>
        <v>Critical Importance</v>
      </c>
      <c r="J67" s="4" t="str">
        <f>VLOOKUP($A67,'Institution Evaluation'!$A$56:$K$345,10,0)&amp;""</f>
        <v/>
      </c>
      <c r="K67" s="4">
        <f>IF($I67='Auto Responses'!$J$11,20,IF($I67='Auto Responses'!$J$13,5,10))</f>
        <v>20</v>
      </c>
      <c r="L67" s="107">
        <f>IF($E67='Auto Responses'!$L$13, 'Auto Responses'!$J$5,IF(AND($D67='Auto Responses'!$J$27,$H67=""),'Auto Responses'!$J$5,IF(AND($D67='Auto Responses'!$J$27,$H67='Auto Responses'!$J$7),1,IF(AND($D67='Auto Responses'!$J$27,$H67='Auto Responses'!$J$8),0,IF(OR(AND($F67=$G67,$H67=""),$H67='Auto Responses'!$J$7),1,0)))))</f>
        <v>1</v>
      </c>
      <c r="M67" s="4" t="str">
        <f>VLOOKUP($A67,'Institution Evaluation'!$A$56:$K$345,11,0)&amp;""</f>
        <v>FALSE</v>
      </c>
      <c r="N67" s="4">
        <f>IF($J67='Auto Responses'!$J$11,1,IF(AND($J67="",$I67='Auto Responses'!$J$11),1,0))</f>
        <v>1</v>
      </c>
      <c r="O67" s="107">
        <f>IF(OR($F$17='Auto Responses'!$J$4,$E67='Auto Responses'!$L$13,$F67='Auto Responses'!$J$5),'Auto Responses'!$J$5,IF($J67="",$K67,IF($J67='Auto Responses'!$J$13,5,IF($J67='Auto Responses'!$J$12,10,IF($J67='Auto Responses'!$J$11,20,0)))))</f>
        <v>20</v>
      </c>
      <c r="P67" s="107">
        <f>IF(OR($O67='Auto Responses'!$J$5,$L67='Auto Responses'!$J$5),'Auto Responses'!$J$5,$O67*$L67)</f>
        <v>20</v>
      </c>
      <c r="Q67" s="107">
        <f t="shared" ref="Q67:Q129" si="7">IF(M67="TRUE",1,0)</f>
        <v>0</v>
      </c>
      <c r="R67" s="107">
        <f t="shared" si="5"/>
        <v>0</v>
      </c>
      <c r="S67" s="107">
        <f t="shared" ref="S67:S129" si="8">IF(Q67=0,0,R67)</f>
        <v>0</v>
      </c>
      <c r="T67" s="107">
        <f t="shared" ref="T67:T129" si="9">IF(N67=1,1,0)</f>
        <v>1</v>
      </c>
      <c r="U67" s="107">
        <f t="shared" si="6"/>
        <v>18</v>
      </c>
      <c r="V67" s="107">
        <f t="shared" ref="V67:V129" si="10">IF(T67=0,0,U67)</f>
        <v>18</v>
      </c>
    </row>
    <row r="68" spans="1:22" ht="55.2" x14ac:dyDescent="0.3">
      <c r="A68" s="4" t="str">
        <f>Questions!$A68</f>
        <v>APPL-05</v>
      </c>
      <c r="B68" s="4" t="str">
        <f t="shared" ref="B68:B130" si="11">LEFT(A68,4)</f>
        <v>APPL</v>
      </c>
      <c r="C68" s="4" t="str">
        <f>VLOOKUP($A68,Questions!$A$3:$L$333,2,0)&amp;""</f>
        <v>Does your application provide separation of duties between security administration, system administration, and standard user functions?*</v>
      </c>
      <c r="D68" s="4" t="str">
        <f>VLOOKUP($A68,Questions!$A$3:$L$333,11,0)&amp;""</f>
        <v/>
      </c>
      <c r="E68" s="4" t="str">
        <f>VLOOKUP($A68,Questions!$A$3:$L$333,12,0)&amp;""</f>
        <v>Infrastructure</v>
      </c>
      <c r="F68" s="4" t="str">
        <f>VLOOKUP($A68,'Institution Evaluation'!$A$56:$K$345,3,0)&amp;""</f>
        <v>No</v>
      </c>
      <c r="G68" s="4" t="str">
        <f>VLOOKUP($A68,'Institution Evaluation'!$A$56:$K$345,7,0)&amp;""</f>
        <v>Yes</v>
      </c>
      <c r="H68" s="4" t="str">
        <f>VLOOKUP($A68,'Institution Evaluation'!$A$56:$K$345,8,0)&amp;""</f>
        <v/>
      </c>
      <c r="I68" s="4" t="str">
        <f>VLOOKUP($A68,'Institution Evaluation'!$A$56:$K$345,9,0)&amp;""</f>
        <v>Critical Importance</v>
      </c>
      <c r="J68" s="4" t="str">
        <f>VLOOKUP($A68,'Institution Evaluation'!$A$56:$K$345,10,0)&amp;""</f>
        <v/>
      </c>
      <c r="K68" s="4">
        <f>IF($I68='Auto Responses'!$J$11,20,IF($I68='Auto Responses'!$J$13,5,10))</f>
        <v>20</v>
      </c>
      <c r="L68" s="107">
        <f>IF($E68='Auto Responses'!$L$13, 'Auto Responses'!$J$5,IF(AND($D68='Auto Responses'!$J$27,$H68=""),'Auto Responses'!$J$5,IF(AND($D68='Auto Responses'!$J$27,$H68='Auto Responses'!$J$7),1,IF(AND($D68='Auto Responses'!$J$27,$H68='Auto Responses'!$J$8),0,IF(OR(AND($F68=$G68,$H68=""),$H68='Auto Responses'!$J$7),1,0)))))</f>
        <v>0</v>
      </c>
      <c r="M68" s="4" t="str">
        <f>VLOOKUP($A68,'Institution Evaluation'!$A$56:$K$345,11,0)&amp;""</f>
        <v>FALSE</v>
      </c>
      <c r="N68" s="4">
        <f>IF($J68='Auto Responses'!$J$11,1,IF(AND($J68="",$I68='Auto Responses'!$J$11),1,0))</f>
        <v>1</v>
      </c>
      <c r="O68" s="107">
        <f>IF(OR($F$17='Auto Responses'!$J$4,$E68='Auto Responses'!$L$13,$F68='Auto Responses'!$J$5),'Auto Responses'!$J$5,IF($J68="",$K68,IF($J68='Auto Responses'!$J$13,5,IF($J68='Auto Responses'!$J$12,10,IF($J68='Auto Responses'!$J$11,20,0)))))</f>
        <v>20</v>
      </c>
      <c r="P68" s="107">
        <f>IF(OR($O68='Auto Responses'!$J$5,$L68='Auto Responses'!$J$5),'Auto Responses'!$J$5,$O68*$L68)</f>
        <v>0</v>
      </c>
      <c r="Q68" s="107">
        <f t="shared" si="7"/>
        <v>0</v>
      </c>
      <c r="R68" s="107">
        <f t="shared" si="5"/>
        <v>0</v>
      </c>
      <c r="S68" s="107">
        <f t="shared" si="8"/>
        <v>0</v>
      </c>
      <c r="T68" s="107">
        <f t="shared" si="9"/>
        <v>1</v>
      </c>
      <c r="U68" s="107">
        <f t="shared" si="6"/>
        <v>19</v>
      </c>
      <c r="V68" s="107">
        <f t="shared" si="10"/>
        <v>19</v>
      </c>
    </row>
    <row r="69" spans="1:22" ht="55.2" x14ac:dyDescent="0.3">
      <c r="A69" s="4" t="str">
        <f>Questions!$A69</f>
        <v>APPL-06</v>
      </c>
      <c r="B69" s="4" t="str">
        <f t="shared" si="11"/>
        <v>APPL</v>
      </c>
      <c r="C69" s="4" t="str">
        <f>VLOOKUP($A69,Questions!$A$3:$L$333,2,0)&amp;""</f>
        <v>Do you subject your code to static code analysis and/or static application security testing prior to release?*</v>
      </c>
      <c r="D69" s="4" t="str">
        <f>VLOOKUP($A69,Questions!$A$3:$L$333,11,0)&amp;""</f>
        <v/>
      </c>
      <c r="E69" s="4" t="str">
        <f>VLOOKUP($A69,Questions!$A$3:$L$333,12,0)&amp;""</f>
        <v>Infrastructure</v>
      </c>
      <c r="F69" s="4" t="str">
        <f>VLOOKUP($A69,'Institution Evaluation'!$A$56:$K$345,3,0)&amp;""</f>
        <v>No</v>
      </c>
      <c r="G69" s="4" t="str">
        <f>VLOOKUP($A69,'Institution Evaluation'!$A$56:$K$345,7,0)&amp;""</f>
        <v>Yes</v>
      </c>
      <c r="H69" s="4" t="str">
        <f>VLOOKUP($A69,'Institution Evaluation'!$A$56:$K$345,8,0)&amp;""</f>
        <v/>
      </c>
      <c r="I69" s="4" t="str">
        <f>VLOOKUP($A69,'Institution Evaluation'!$A$56:$K$345,9,0)&amp;""</f>
        <v>Critical Importance</v>
      </c>
      <c r="J69" s="4" t="str">
        <f>VLOOKUP($A69,'Institution Evaluation'!$A$56:$K$345,10,0)&amp;""</f>
        <v/>
      </c>
      <c r="K69" s="4">
        <f>IF($I69='Auto Responses'!$J$11,20,IF($I69='Auto Responses'!$J$13,5,10))</f>
        <v>20</v>
      </c>
      <c r="L69" s="107">
        <f>IF($E69='Auto Responses'!$L$13, 'Auto Responses'!$J$5,IF(AND($D69='Auto Responses'!$J$27,$H69=""),'Auto Responses'!$J$5,IF(AND($D69='Auto Responses'!$J$27,$H69='Auto Responses'!$J$7),1,IF(AND($D69='Auto Responses'!$J$27,$H69='Auto Responses'!$J$8),0,IF(OR(AND($F69=$G69,$H69=""),$H69='Auto Responses'!$J$7),1,0)))))</f>
        <v>0</v>
      </c>
      <c r="M69" s="4" t="str">
        <f>VLOOKUP($A69,'Institution Evaluation'!$A$56:$K$345,11,0)&amp;""</f>
        <v>FALSE</v>
      </c>
      <c r="N69" s="4">
        <f>IF($J69='Auto Responses'!$J$11,1,IF(AND($J69="",$I69='Auto Responses'!$J$11),1,0))</f>
        <v>1</v>
      </c>
      <c r="O69" s="107">
        <f>IF(OR($F$17='Auto Responses'!$J$4,$E69='Auto Responses'!$L$13,$F69='Auto Responses'!$J$5),'Auto Responses'!$J$5,IF($J69="",$K69,IF($J69='Auto Responses'!$J$13,5,IF($J69='Auto Responses'!$J$12,10,IF($J69='Auto Responses'!$J$11,20,0)))))</f>
        <v>20</v>
      </c>
      <c r="P69" s="107">
        <f>IF(OR($O69='Auto Responses'!$J$5,$L69='Auto Responses'!$J$5),'Auto Responses'!$J$5,$O69*$L69)</f>
        <v>0</v>
      </c>
      <c r="Q69" s="107">
        <f t="shared" si="7"/>
        <v>0</v>
      </c>
      <c r="R69" s="107">
        <f t="shared" ref="R69:R132" si="12">R68+Q69</f>
        <v>0</v>
      </c>
      <c r="S69" s="107">
        <f t="shared" si="8"/>
        <v>0</v>
      </c>
      <c r="T69" s="107">
        <f t="shared" si="9"/>
        <v>1</v>
      </c>
      <c r="U69" s="107">
        <f t="shared" ref="U69:U132" si="13">U68+T69</f>
        <v>20</v>
      </c>
      <c r="V69" s="107">
        <f t="shared" si="10"/>
        <v>20</v>
      </c>
    </row>
    <row r="70" spans="1:22" ht="55.2" x14ac:dyDescent="0.3">
      <c r="A70" s="4" t="str">
        <f>Questions!$A70</f>
        <v>APPL-07</v>
      </c>
      <c r="B70" s="4" t="str">
        <f t="shared" si="11"/>
        <v>APPL</v>
      </c>
      <c r="C70" s="4" t="str">
        <f>VLOOKUP($A70,Questions!$A$3:$L$333,2,0)&amp;""</f>
        <v>Do you have software testing processes (dynamic or static) that are established and followed?*</v>
      </c>
      <c r="D70" s="4" t="str">
        <f>VLOOKUP($A70,Questions!$A$3:$L$333,11,0)&amp;""</f>
        <v/>
      </c>
      <c r="E70" s="4" t="str">
        <f>VLOOKUP($A70,Questions!$A$3:$L$333,12,0)&amp;""</f>
        <v>Infrastructure</v>
      </c>
      <c r="F70" s="4" t="str">
        <f>VLOOKUP($A70,'Institution Evaluation'!$A$56:$K$345,3,0)&amp;""</f>
        <v>Yes</v>
      </c>
      <c r="G70" s="4" t="str">
        <f>VLOOKUP($A70,'Institution Evaluation'!$A$56:$K$345,7,0)&amp;""</f>
        <v>Yes</v>
      </c>
      <c r="H70" s="4" t="str">
        <f>VLOOKUP($A70,'Institution Evaluation'!$A$56:$K$345,8,0)&amp;""</f>
        <v/>
      </c>
      <c r="I70" s="4" t="str">
        <f>VLOOKUP($A70,'Institution Evaluation'!$A$56:$K$345,9,0)&amp;""</f>
        <v>Critical Importance</v>
      </c>
      <c r="J70" s="4" t="str">
        <f>VLOOKUP($A70,'Institution Evaluation'!$A$56:$K$345,10,0)&amp;""</f>
        <v/>
      </c>
      <c r="K70" s="4">
        <f>IF($I70='Auto Responses'!$J$11,20,IF($I70='Auto Responses'!$J$13,5,10))</f>
        <v>20</v>
      </c>
      <c r="L70" s="107">
        <f>IF($E70='Auto Responses'!$L$13, 'Auto Responses'!$J$5,IF(AND($D70='Auto Responses'!$J$27,$H70=""),'Auto Responses'!$J$5,IF(AND($D70='Auto Responses'!$J$27,$H70='Auto Responses'!$J$7),1,IF(AND($D70='Auto Responses'!$J$27,$H70='Auto Responses'!$J$8),0,IF(OR(AND($F70=$G70,$H70=""),$H70='Auto Responses'!$J$7),1,0)))))</f>
        <v>1</v>
      </c>
      <c r="M70" s="4" t="str">
        <f>VLOOKUP($A70,'Institution Evaluation'!$A$56:$K$345,11,0)&amp;""</f>
        <v>FALSE</v>
      </c>
      <c r="N70" s="4">
        <f>IF($J70='Auto Responses'!$J$11,1,IF(AND($J70="",$I70='Auto Responses'!$J$11),1,0))</f>
        <v>1</v>
      </c>
      <c r="O70" s="107">
        <f>IF(OR($F$17='Auto Responses'!$J$4,$E70='Auto Responses'!$L$13,$F70='Auto Responses'!$J$5),'Auto Responses'!$J$5,IF($J70="",$K70,IF($J70='Auto Responses'!$J$13,5,IF($J70='Auto Responses'!$J$12,10,IF($J70='Auto Responses'!$J$11,20,0)))))</f>
        <v>20</v>
      </c>
      <c r="P70" s="107">
        <f>IF(OR($O70='Auto Responses'!$J$5,$L70='Auto Responses'!$J$5),'Auto Responses'!$J$5,$O70*$L70)</f>
        <v>20</v>
      </c>
      <c r="Q70" s="107">
        <f t="shared" si="7"/>
        <v>0</v>
      </c>
      <c r="R70" s="107">
        <f t="shared" si="12"/>
        <v>0</v>
      </c>
      <c r="S70" s="107">
        <f t="shared" si="8"/>
        <v>0</v>
      </c>
      <c r="T70" s="107">
        <f t="shared" si="9"/>
        <v>1</v>
      </c>
      <c r="U70" s="107">
        <f t="shared" si="13"/>
        <v>21</v>
      </c>
      <c r="V70" s="107">
        <f t="shared" si="10"/>
        <v>21</v>
      </c>
    </row>
    <row r="71" spans="1:22" ht="55.2" x14ac:dyDescent="0.3">
      <c r="A71" s="4" t="str">
        <f>Questions!$A71</f>
        <v>APPL-08</v>
      </c>
      <c r="B71" s="4" t="str">
        <f t="shared" si="11"/>
        <v>APPL</v>
      </c>
      <c r="C71" s="4" t="str">
        <f>VLOOKUP($A71,Questions!$A$3:$L$333,2,0)&amp;""</f>
        <v>Are access controls for staff within your organization based on structured rules, such as RBAC, ABAC, or PBAC?</v>
      </c>
      <c r="D71" s="4" t="str">
        <f>VLOOKUP($A71,Questions!$A$3:$L$333,11,0)&amp;""</f>
        <v/>
      </c>
      <c r="E71" s="4" t="str">
        <f>VLOOKUP($A71,Questions!$A$3:$L$333,12,0)&amp;""</f>
        <v>Infrastructure</v>
      </c>
      <c r="F71" s="4" t="str">
        <f>VLOOKUP($A71,'Institution Evaluation'!$A$56:$K$345,3,0)&amp;""</f>
        <v>Yes</v>
      </c>
      <c r="G71" s="4" t="str">
        <f>VLOOKUP($A71,'Institution Evaluation'!$A$56:$K$345,7,0)&amp;""</f>
        <v>Yes</v>
      </c>
      <c r="H71" s="4" t="str">
        <f>VLOOKUP($A71,'Institution Evaluation'!$A$56:$K$345,8,0)&amp;""</f>
        <v/>
      </c>
      <c r="I71" s="4" t="str">
        <f>VLOOKUP($A71,'Institution Evaluation'!$A$56:$K$345,9,0)&amp;""</f>
        <v>Standard Importance</v>
      </c>
      <c r="J71" s="4" t="str">
        <f>VLOOKUP($A71,'Institution Evaluation'!$A$56:$K$345,10,0)&amp;""</f>
        <v/>
      </c>
      <c r="K71" s="4">
        <f>IF($I71='Auto Responses'!$J$11,20,IF($I71='Auto Responses'!$J$13,5,10))</f>
        <v>10</v>
      </c>
      <c r="L71" s="107">
        <f>IF($E71='Auto Responses'!$L$13, 'Auto Responses'!$J$5,IF(AND($D71='Auto Responses'!$J$27,$H71=""),'Auto Responses'!$J$5,IF(AND($D71='Auto Responses'!$J$27,$H71='Auto Responses'!$J$7),1,IF(AND($D71='Auto Responses'!$J$27,$H71='Auto Responses'!$J$8),0,IF(OR(AND($F71=$G71,$H71=""),$H71='Auto Responses'!$J$7),1,0)))))</f>
        <v>1</v>
      </c>
      <c r="M71" s="4" t="str">
        <f>VLOOKUP($A71,'Institution Evaluation'!$A$56:$K$345,11,0)&amp;""</f>
        <v>FALSE</v>
      </c>
      <c r="N71" s="4">
        <f>IF($J71='Auto Responses'!$J$11,1,IF(AND($J71="",$I71='Auto Responses'!$J$11),1,0))</f>
        <v>0</v>
      </c>
      <c r="O71" s="107">
        <f>IF(OR($F$17='Auto Responses'!$J$4,$E71='Auto Responses'!$L$13,$F71='Auto Responses'!$J$5),'Auto Responses'!$J$5,IF($J71="",$K71,IF($J71='Auto Responses'!$J$13,5,IF($J71='Auto Responses'!$J$12,10,IF($J71='Auto Responses'!$J$11,20,0)))))</f>
        <v>10</v>
      </c>
      <c r="P71" s="107">
        <f>IF(OR($O71='Auto Responses'!$J$5,$L71='Auto Responses'!$J$5),'Auto Responses'!$J$5,$O71*$L71)</f>
        <v>10</v>
      </c>
      <c r="Q71" s="107">
        <f t="shared" si="7"/>
        <v>0</v>
      </c>
      <c r="R71" s="107">
        <f t="shared" si="12"/>
        <v>0</v>
      </c>
      <c r="S71" s="107">
        <f t="shared" si="8"/>
        <v>0</v>
      </c>
      <c r="T71" s="107">
        <f t="shared" si="9"/>
        <v>0</v>
      </c>
      <c r="U71" s="107">
        <f t="shared" si="13"/>
        <v>21</v>
      </c>
      <c r="V71" s="107">
        <f t="shared" si="10"/>
        <v>0</v>
      </c>
    </row>
    <row r="72" spans="1:22" ht="55.2" x14ac:dyDescent="0.3">
      <c r="A72" s="4" t="str">
        <f>Questions!$A72</f>
        <v>APPL-09</v>
      </c>
      <c r="B72" s="4" t="str">
        <f t="shared" si="11"/>
        <v>APPL</v>
      </c>
      <c r="C72" s="4" t="str">
        <f>VLOOKUP($A72,Questions!$A$3:$L$333,2,0)&amp;""</f>
        <v>Does the system provide data input validation and error messages?</v>
      </c>
      <c r="D72" s="4" t="str">
        <f>VLOOKUP($A72,Questions!$A$3:$L$333,11,0)&amp;""</f>
        <v/>
      </c>
      <c r="E72" s="4" t="str">
        <f>VLOOKUP($A72,Questions!$A$3:$L$333,12,0)&amp;""</f>
        <v>Infrastructure</v>
      </c>
      <c r="F72" s="4" t="str">
        <f>VLOOKUP($A72,'Institution Evaluation'!$A$56:$K$345,3,0)&amp;""</f>
        <v>Yes</v>
      </c>
      <c r="G72" s="4" t="str">
        <f>VLOOKUP($A72,'Institution Evaluation'!$A$56:$K$345,7,0)&amp;""</f>
        <v>Yes</v>
      </c>
      <c r="H72" s="4" t="str">
        <f>VLOOKUP($A72,'Institution Evaluation'!$A$56:$K$345,8,0)&amp;""</f>
        <v/>
      </c>
      <c r="I72" s="4" t="str">
        <f>VLOOKUP($A72,'Institution Evaluation'!$A$56:$K$345,9,0)&amp;""</f>
        <v>Standard Importance</v>
      </c>
      <c r="J72" s="4" t="str">
        <f>VLOOKUP($A72,'Institution Evaluation'!$A$56:$K$345,10,0)&amp;""</f>
        <v/>
      </c>
      <c r="K72" s="4">
        <f>IF($I72='Auto Responses'!$J$11,20,IF($I72='Auto Responses'!$J$13,5,10))</f>
        <v>10</v>
      </c>
      <c r="L72" s="107">
        <f>IF($E72='Auto Responses'!$L$13, 'Auto Responses'!$J$5,IF(AND($D72='Auto Responses'!$J$27,$H72=""),'Auto Responses'!$J$5,IF(AND($D72='Auto Responses'!$J$27,$H72='Auto Responses'!$J$7),1,IF(AND($D72='Auto Responses'!$J$27,$H72='Auto Responses'!$J$8),0,IF(OR(AND($F72=$G72,$H72=""),$H72='Auto Responses'!$J$7),1,0)))))</f>
        <v>1</v>
      </c>
      <c r="M72" s="4" t="str">
        <f>VLOOKUP($A72,'Institution Evaluation'!$A$56:$K$345,11,0)&amp;""</f>
        <v>FALSE</v>
      </c>
      <c r="N72" s="4">
        <f>IF($J72='Auto Responses'!$J$11,1,IF(AND($J72="",$I72='Auto Responses'!$J$11),1,0))</f>
        <v>0</v>
      </c>
      <c r="O72" s="107">
        <f>IF(OR($F$17='Auto Responses'!$J$4,$E72='Auto Responses'!$L$13,$F72='Auto Responses'!$J$5),'Auto Responses'!$J$5,IF($J72="",$K72,IF($J72='Auto Responses'!$J$13,5,IF($J72='Auto Responses'!$J$12,10,IF($J72='Auto Responses'!$J$11,20,0)))))</f>
        <v>10</v>
      </c>
      <c r="P72" s="107">
        <f>IF(OR($O72='Auto Responses'!$J$5,$L72='Auto Responses'!$J$5),'Auto Responses'!$J$5,$O72*$L72)</f>
        <v>10</v>
      </c>
      <c r="Q72" s="107">
        <f t="shared" si="7"/>
        <v>0</v>
      </c>
      <c r="R72" s="107">
        <f t="shared" si="12"/>
        <v>0</v>
      </c>
      <c r="S72" s="107">
        <f t="shared" si="8"/>
        <v>0</v>
      </c>
      <c r="T72" s="107">
        <f t="shared" si="9"/>
        <v>0</v>
      </c>
      <c r="U72" s="107">
        <f t="shared" si="13"/>
        <v>21</v>
      </c>
      <c r="V72" s="107">
        <f t="shared" si="10"/>
        <v>0</v>
      </c>
    </row>
    <row r="73" spans="1:22" ht="55.2" x14ac:dyDescent="0.3">
      <c r="A73" s="4" t="str">
        <f>Questions!$A73</f>
        <v>APPL-10</v>
      </c>
      <c r="B73" s="4" t="str">
        <f t="shared" si="11"/>
        <v>APPL</v>
      </c>
      <c r="C73" s="4" t="str">
        <f>VLOOKUP($A73,Questions!$A$3:$L$333,2,0)&amp;""</f>
        <v>Do you have a process and implemented procedures for managing your software supply chain (e.g., libraries, repositories, frameworks, etc.)?</v>
      </c>
      <c r="D73" s="4" t="str">
        <f>VLOOKUP($A73,Questions!$A$3:$L$333,11,0)&amp;""</f>
        <v/>
      </c>
      <c r="E73" s="4" t="str">
        <f>VLOOKUP($A73,Questions!$A$3:$L$333,12,0)&amp;""</f>
        <v>Infrastructure</v>
      </c>
      <c r="F73" s="4" t="str">
        <f>VLOOKUP($A73,'Institution Evaluation'!$A$56:$K$345,3,0)&amp;""</f>
        <v>Yes</v>
      </c>
      <c r="G73" s="4" t="str">
        <f>VLOOKUP($A73,'Institution Evaluation'!$A$56:$K$345,7,0)&amp;""</f>
        <v>Yes</v>
      </c>
      <c r="H73" s="4" t="str">
        <f>VLOOKUP($A73,'Institution Evaluation'!$A$56:$K$345,8,0)&amp;""</f>
        <v/>
      </c>
      <c r="I73" s="4" t="str">
        <f>VLOOKUP($A73,'Institution Evaluation'!$A$56:$K$345,9,0)&amp;""</f>
        <v>Standard Importance</v>
      </c>
      <c r="J73" s="4" t="str">
        <f>VLOOKUP($A73,'Institution Evaluation'!$A$56:$K$345,10,0)&amp;""</f>
        <v/>
      </c>
      <c r="K73" s="4">
        <f>IF($I73='Auto Responses'!$J$11,20,IF($I73='Auto Responses'!$J$13,5,10))</f>
        <v>10</v>
      </c>
      <c r="L73" s="107">
        <f>IF($E73='Auto Responses'!$L$13, 'Auto Responses'!$J$5,IF(AND($D73='Auto Responses'!$J$27,$H73=""),'Auto Responses'!$J$5,IF(AND($D73='Auto Responses'!$J$27,$H73='Auto Responses'!$J$7),1,IF(AND($D73='Auto Responses'!$J$27,$H73='Auto Responses'!$J$8),0,IF(OR(AND($F73=$G73,$H73=""),$H73='Auto Responses'!$J$7),1,0)))))</f>
        <v>1</v>
      </c>
      <c r="M73" s="4" t="str">
        <f>VLOOKUP($A73,'Institution Evaluation'!$A$56:$K$345,11,0)&amp;""</f>
        <v>FALSE</v>
      </c>
      <c r="N73" s="4">
        <f>IF($J73='Auto Responses'!$J$11,1,IF(AND($J73="",$I73='Auto Responses'!$J$11),1,0))</f>
        <v>0</v>
      </c>
      <c r="O73" s="107">
        <f>IF(OR($F$17='Auto Responses'!$J$4,$E73='Auto Responses'!$L$13,$F73='Auto Responses'!$J$5),'Auto Responses'!$J$5,IF($J73="",$K73,IF($J73='Auto Responses'!$J$13,5,IF($J73='Auto Responses'!$J$12,10,IF($J73='Auto Responses'!$J$11,20,0)))))</f>
        <v>10</v>
      </c>
      <c r="P73" s="107">
        <f>IF(OR($O73='Auto Responses'!$J$5,$L73='Auto Responses'!$J$5),'Auto Responses'!$J$5,$O73*$L73)</f>
        <v>10</v>
      </c>
      <c r="Q73" s="107">
        <f t="shared" si="7"/>
        <v>0</v>
      </c>
      <c r="R73" s="107">
        <f t="shared" si="12"/>
        <v>0</v>
      </c>
      <c r="S73" s="107">
        <f t="shared" si="8"/>
        <v>0</v>
      </c>
      <c r="T73" s="107">
        <f t="shared" si="9"/>
        <v>0</v>
      </c>
      <c r="U73" s="107">
        <f t="shared" si="13"/>
        <v>21</v>
      </c>
      <c r="V73" s="107">
        <f t="shared" si="10"/>
        <v>0</v>
      </c>
    </row>
    <row r="74" spans="1:22" ht="55.2" x14ac:dyDescent="0.3">
      <c r="A74" s="4" t="str">
        <f>Questions!$A74</f>
        <v>APPL-11</v>
      </c>
      <c r="B74" s="4" t="str">
        <f t="shared" si="11"/>
        <v>APPL</v>
      </c>
      <c r="C74" s="4" t="str">
        <f>VLOOKUP($A74,Questions!$A$3:$L$333,2,0)&amp;""</f>
        <v>Have your developers been trained in secure coding techniques?</v>
      </c>
      <c r="D74" s="4" t="str">
        <f>VLOOKUP($A74,Questions!$A$3:$L$333,11,0)&amp;""</f>
        <v/>
      </c>
      <c r="E74" s="4" t="str">
        <f>VLOOKUP($A74,Questions!$A$3:$L$333,12,0)&amp;""</f>
        <v>Infrastructure</v>
      </c>
      <c r="F74" s="4" t="str">
        <f>VLOOKUP($A74,'Institution Evaluation'!$A$56:$K$345,3,0)&amp;""</f>
        <v>No</v>
      </c>
      <c r="G74" s="4" t="str">
        <f>VLOOKUP($A74,'Institution Evaluation'!$A$56:$K$345,7,0)&amp;""</f>
        <v>Yes</v>
      </c>
      <c r="H74" s="4" t="str">
        <f>VLOOKUP($A74,'Institution Evaluation'!$A$56:$K$345,8,0)&amp;""</f>
        <v/>
      </c>
      <c r="I74" s="4" t="str">
        <f>VLOOKUP($A74,'Institution Evaluation'!$A$56:$K$345,9,0)&amp;""</f>
        <v>Standard Importance</v>
      </c>
      <c r="J74" s="4" t="str">
        <f>VLOOKUP($A74,'Institution Evaluation'!$A$56:$K$345,10,0)&amp;""</f>
        <v/>
      </c>
      <c r="K74" s="4">
        <f>IF($I74='Auto Responses'!$J$11,20,IF($I74='Auto Responses'!$J$13,5,10))</f>
        <v>10</v>
      </c>
      <c r="L74" s="107">
        <f>IF($E74='Auto Responses'!$L$13, 'Auto Responses'!$J$5,IF(AND($D74='Auto Responses'!$J$27,$H74=""),'Auto Responses'!$J$5,IF(AND($D74='Auto Responses'!$J$27,$H74='Auto Responses'!$J$7),1,IF(AND($D74='Auto Responses'!$J$27,$H74='Auto Responses'!$J$8),0,IF(OR(AND($F74=$G74,$H74=""),$H74='Auto Responses'!$J$7),1,0)))))</f>
        <v>0</v>
      </c>
      <c r="M74" s="4" t="str">
        <f>VLOOKUP($A74,'Institution Evaluation'!$A$56:$K$345,11,0)&amp;""</f>
        <v>FALSE</v>
      </c>
      <c r="N74" s="4">
        <f>IF($J74='Auto Responses'!$J$11,1,IF(AND($J74="",$I74='Auto Responses'!$J$11),1,0))</f>
        <v>0</v>
      </c>
      <c r="O74" s="107">
        <f>IF(OR($F$17='Auto Responses'!$J$4,$E74='Auto Responses'!$L$13,$F74='Auto Responses'!$J$5),'Auto Responses'!$J$5,IF($J74="",$K74,IF($J74='Auto Responses'!$J$13,5,IF($J74='Auto Responses'!$J$12,10,IF($J74='Auto Responses'!$J$11,20,0)))))</f>
        <v>10</v>
      </c>
      <c r="P74" s="107">
        <f>IF(OR($O74='Auto Responses'!$J$5,$L74='Auto Responses'!$J$5),'Auto Responses'!$J$5,$O74*$L74)</f>
        <v>0</v>
      </c>
      <c r="Q74" s="107">
        <f t="shared" si="7"/>
        <v>0</v>
      </c>
      <c r="R74" s="107">
        <f t="shared" si="12"/>
        <v>0</v>
      </c>
      <c r="S74" s="107">
        <f t="shared" si="8"/>
        <v>0</v>
      </c>
      <c r="T74" s="107">
        <f t="shared" si="9"/>
        <v>0</v>
      </c>
      <c r="U74" s="107">
        <f t="shared" si="13"/>
        <v>21</v>
      </c>
      <c r="V74" s="107">
        <f t="shared" si="10"/>
        <v>0</v>
      </c>
    </row>
    <row r="75" spans="1:22" ht="55.2" x14ac:dyDescent="0.3">
      <c r="A75" s="4" t="str">
        <f>Questions!$A75</f>
        <v>APPL-12</v>
      </c>
      <c r="B75" s="4" t="str">
        <f t="shared" si="11"/>
        <v>APPL</v>
      </c>
      <c r="C75" s="4" t="str">
        <f>VLOOKUP($A75,Questions!$A$3:$L$333,2,0)&amp;""</f>
        <v>Was your application developed using secure coding techniques?</v>
      </c>
      <c r="D75" s="4" t="str">
        <f>VLOOKUP($A75,Questions!$A$3:$L$333,11,0)&amp;""</f>
        <v/>
      </c>
      <c r="E75" s="4" t="str">
        <f>VLOOKUP($A75,Questions!$A$3:$L$333,12,0)&amp;""</f>
        <v>Infrastructure</v>
      </c>
      <c r="F75" s="4" t="str">
        <f>VLOOKUP($A75,'Institution Evaluation'!$A$56:$K$345,3,0)&amp;""</f>
        <v>Yes</v>
      </c>
      <c r="G75" s="4" t="str">
        <f>VLOOKUP($A75,'Institution Evaluation'!$A$56:$K$345,7,0)&amp;""</f>
        <v>Yes</v>
      </c>
      <c r="H75" s="4" t="str">
        <f>VLOOKUP($A75,'Institution Evaluation'!$A$56:$K$345,8,0)&amp;""</f>
        <v/>
      </c>
      <c r="I75" s="4" t="str">
        <f>VLOOKUP($A75,'Institution Evaluation'!$A$56:$K$345,9,0)&amp;""</f>
        <v>Standard Importance</v>
      </c>
      <c r="J75" s="4" t="str">
        <f>VLOOKUP($A75,'Institution Evaluation'!$A$56:$K$345,10,0)&amp;""</f>
        <v/>
      </c>
      <c r="K75" s="4">
        <f>IF($I75='Auto Responses'!$J$11,20,IF($I75='Auto Responses'!$J$13,5,10))</f>
        <v>10</v>
      </c>
      <c r="L75" s="107">
        <f>IF($E75='Auto Responses'!$L$13, 'Auto Responses'!$J$5,IF(AND($D75='Auto Responses'!$J$27,$H75=""),'Auto Responses'!$J$5,IF(AND($D75='Auto Responses'!$J$27,$H75='Auto Responses'!$J$7),1,IF(AND($D75='Auto Responses'!$J$27,$H75='Auto Responses'!$J$8),0,IF(OR(AND($F75=$G75,$H75=""),$H75='Auto Responses'!$J$7),1,0)))))</f>
        <v>1</v>
      </c>
      <c r="M75" s="4" t="str">
        <f>VLOOKUP($A75,'Institution Evaluation'!$A$56:$K$345,11,0)&amp;""</f>
        <v>FALSE</v>
      </c>
      <c r="N75" s="4">
        <f>IF($J75='Auto Responses'!$J$11,1,IF(AND($J75="",$I75='Auto Responses'!$J$11),1,0))</f>
        <v>0</v>
      </c>
      <c r="O75" s="107">
        <f>IF(OR($F$17='Auto Responses'!$J$4,$E75='Auto Responses'!$L$13,$F75='Auto Responses'!$J$5),'Auto Responses'!$J$5,IF($J75="",$K75,IF($J75='Auto Responses'!$J$13,5,IF($J75='Auto Responses'!$J$12,10,IF($J75='Auto Responses'!$J$11,20,0)))))</f>
        <v>10</v>
      </c>
      <c r="P75" s="107">
        <f>IF(OR($O75='Auto Responses'!$J$5,$L75='Auto Responses'!$J$5),'Auto Responses'!$J$5,$O75*$L75)</f>
        <v>10</v>
      </c>
      <c r="Q75" s="107">
        <f t="shared" si="7"/>
        <v>0</v>
      </c>
      <c r="R75" s="107">
        <f t="shared" si="12"/>
        <v>0</v>
      </c>
      <c r="S75" s="107">
        <f t="shared" si="8"/>
        <v>0</v>
      </c>
      <c r="T75" s="107">
        <f t="shared" si="9"/>
        <v>0</v>
      </c>
      <c r="U75" s="107">
        <f t="shared" si="13"/>
        <v>21</v>
      </c>
      <c r="V75" s="107">
        <f t="shared" si="10"/>
        <v>0</v>
      </c>
    </row>
    <row r="76" spans="1:22" ht="55.2" x14ac:dyDescent="0.3">
      <c r="A76" s="4" t="str">
        <f>Questions!$A76</f>
        <v>APPL-13</v>
      </c>
      <c r="B76" s="4" t="str">
        <f t="shared" si="11"/>
        <v>APPL</v>
      </c>
      <c r="C76" s="4" t="str">
        <f>VLOOKUP($A76,Questions!$A$3:$L$333,2,0)&amp;""</f>
        <v>If mobile, is the application available from a trusted source (e.g., App Store, Google Play Store)?</v>
      </c>
      <c r="D76" s="4" t="str">
        <f>VLOOKUP($A76,Questions!$A$3:$L$333,11,0)&amp;""</f>
        <v/>
      </c>
      <c r="E76" s="4" t="str">
        <f>VLOOKUP($A76,Questions!$A$3:$L$333,12,0)&amp;""</f>
        <v>Infrastructure</v>
      </c>
      <c r="F76" s="4" t="str">
        <f>VLOOKUP($A76,'Institution Evaluation'!$A$56:$K$345,3,0)&amp;""</f>
        <v>N/A</v>
      </c>
      <c r="G76" s="4" t="str">
        <f>VLOOKUP($A76,'Institution Evaluation'!$A$56:$K$345,7,0)&amp;""</f>
        <v>Yes</v>
      </c>
      <c r="H76" s="4" t="str">
        <f>VLOOKUP($A76,'Institution Evaluation'!$A$56:$K$345,8,0)&amp;""</f>
        <v/>
      </c>
      <c r="I76" s="4" t="str">
        <f>VLOOKUP($A76,'Institution Evaluation'!$A$56:$K$345,9,0)&amp;""</f>
        <v>Minor Importance</v>
      </c>
      <c r="J76" s="4" t="str">
        <f>VLOOKUP($A76,'Institution Evaluation'!$A$56:$K$345,10,0)&amp;""</f>
        <v/>
      </c>
      <c r="K76" s="4">
        <f>IF($I76='Auto Responses'!$J$11,20,IF($I76='Auto Responses'!$J$13,5,10))</f>
        <v>5</v>
      </c>
      <c r="L76" s="107">
        <f>IF($E76='Auto Responses'!$L$13, 'Auto Responses'!$J$5,IF(AND($D76='Auto Responses'!$J$27,$H76=""),'Auto Responses'!$J$5,IF(AND($D76='Auto Responses'!$J$27,$H76='Auto Responses'!$J$7),1,IF(AND($D76='Auto Responses'!$J$27,$H76='Auto Responses'!$J$8),0,IF(OR(AND($F76=$G76,$H76=""),$H76='Auto Responses'!$J$7),1,0)))))</f>
        <v>0</v>
      </c>
      <c r="M76" s="4" t="str">
        <f>VLOOKUP($A76,'Institution Evaluation'!$A$56:$K$345,11,0)&amp;""</f>
        <v>FALSE</v>
      </c>
      <c r="N76" s="4">
        <f>IF($J76='Auto Responses'!$J$11,1,IF(AND($J76="",$I76='Auto Responses'!$J$11),1,0))</f>
        <v>0</v>
      </c>
      <c r="O76" s="107" t="str">
        <f>IF(OR($F$17='Auto Responses'!$J$4,$E76='Auto Responses'!$L$13,$F76='Auto Responses'!$J$5),'Auto Responses'!$J$5,IF($J76="",$K76,IF($J76='Auto Responses'!$J$13,5,IF($J76='Auto Responses'!$J$12,10,IF($J76='Auto Responses'!$J$11,20,0)))))</f>
        <v>N/A</v>
      </c>
      <c r="P76" s="107" t="str">
        <f>IF(OR($O76='Auto Responses'!$J$5,$L76='Auto Responses'!$J$5),'Auto Responses'!$J$5,$O76*$L76)</f>
        <v>N/A</v>
      </c>
      <c r="Q76" s="107">
        <f t="shared" si="7"/>
        <v>0</v>
      </c>
      <c r="R76" s="107">
        <f t="shared" si="12"/>
        <v>0</v>
      </c>
      <c r="S76" s="107">
        <f t="shared" si="8"/>
        <v>0</v>
      </c>
      <c r="T76" s="107">
        <f t="shared" si="9"/>
        <v>0</v>
      </c>
      <c r="U76" s="107">
        <f t="shared" si="13"/>
        <v>21</v>
      </c>
      <c r="V76" s="107">
        <f t="shared" si="10"/>
        <v>0</v>
      </c>
    </row>
    <row r="77" spans="1:22" ht="55.2" x14ac:dyDescent="0.3">
      <c r="A77" s="4" t="str">
        <f>Questions!$A77</f>
        <v>APPL-14</v>
      </c>
      <c r="B77" s="4" t="str">
        <f t="shared" si="11"/>
        <v>APPL</v>
      </c>
      <c r="C77" s="4" t="str">
        <f>VLOOKUP($A77,Questions!$A$3:$L$333,2,0)&amp;""</f>
        <v>Do you have a fully implemented policy or procedure that details how your employees obtain administrator access to institutional instance of the application?</v>
      </c>
      <c r="D77" s="4" t="str">
        <f>VLOOKUP($A77,Questions!$A$3:$L$333,11,0)&amp;""</f>
        <v/>
      </c>
      <c r="E77" s="4" t="str">
        <f>VLOOKUP($A77,Questions!$A$3:$L$333,12,0)&amp;""</f>
        <v>Infrastructure</v>
      </c>
      <c r="F77" s="4" t="str">
        <f>VLOOKUP($A77,'Institution Evaluation'!$A$56:$K$345,3,0)&amp;""</f>
        <v>Yes</v>
      </c>
      <c r="G77" s="4" t="str">
        <f>VLOOKUP($A77,'Institution Evaluation'!$A$56:$K$345,7,0)&amp;""</f>
        <v>Yes</v>
      </c>
      <c r="H77" s="4" t="str">
        <f>VLOOKUP($A77,'Institution Evaluation'!$A$56:$K$345,8,0)&amp;""</f>
        <v/>
      </c>
      <c r="I77" s="4" t="str">
        <f>VLOOKUP($A77,'Institution Evaluation'!$A$56:$K$345,9,0)&amp;""</f>
        <v>Minor Importance</v>
      </c>
      <c r="J77" s="4" t="str">
        <f>VLOOKUP($A77,'Institution Evaluation'!$A$56:$K$345,10,0)&amp;""</f>
        <v/>
      </c>
      <c r="K77" s="4">
        <f>IF($I77='Auto Responses'!$J$11,20,IF($I77='Auto Responses'!$J$13,5,10))</f>
        <v>5</v>
      </c>
      <c r="L77" s="107">
        <f>IF($E77='Auto Responses'!$L$13, 'Auto Responses'!$J$5,IF(AND($D77='Auto Responses'!$J$27,$H77=""),'Auto Responses'!$J$5,IF(AND($D77='Auto Responses'!$J$27,$H77='Auto Responses'!$J$7),1,IF(AND($D77='Auto Responses'!$J$27,$H77='Auto Responses'!$J$8),0,IF(OR(AND($F77=$G77,$H77=""),$H77='Auto Responses'!$J$7),1,0)))))</f>
        <v>1</v>
      </c>
      <c r="M77" s="4" t="str">
        <f>VLOOKUP($A77,'Institution Evaluation'!$A$56:$K$345,11,0)&amp;""</f>
        <v>FALSE</v>
      </c>
      <c r="N77" s="4">
        <f>IF($J77='Auto Responses'!$J$11,1,IF(AND($J77="",$I77='Auto Responses'!$J$11),1,0))</f>
        <v>0</v>
      </c>
      <c r="O77" s="107">
        <f>IF(OR($F$17='Auto Responses'!$J$4,$E77='Auto Responses'!$L$13,$F77='Auto Responses'!$J$5),'Auto Responses'!$J$5,IF($J77="",$K77,IF($J77='Auto Responses'!$J$13,5,IF($J77='Auto Responses'!$J$12,10,IF($J77='Auto Responses'!$J$11,20,0)))))</f>
        <v>5</v>
      </c>
      <c r="P77" s="107">
        <f>IF(OR($O77='Auto Responses'!$J$5,$L77='Auto Responses'!$J$5),'Auto Responses'!$J$5,$O77*$L77)</f>
        <v>5</v>
      </c>
      <c r="Q77" s="107">
        <f t="shared" si="7"/>
        <v>0</v>
      </c>
      <c r="R77" s="107">
        <f t="shared" si="12"/>
        <v>0</v>
      </c>
      <c r="S77" s="107">
        <f t="shared" si="8"/>
        <v>0</v>
      </c>
      <c r="T77" s="107">
        <f t="shared" si="9"/>
        <v>0</v>
      </c>
      <c r="U77" s="107">
        <f t="shared" si="13"/>
        <v>21</v>
      </c>
      <c r="V77" s="107">
        <f t="shared" si="10"/>
        <v>0</v>
      </c>
    </row>
    <row r="78" spans="1:22" ht="55.2" x14ac:dyDescent="0.3">
      <c r="A78" s="4" t="str">
        <f>Questions!$A78</f>
        <v>AAAI-01</v>
      </c>
      <c r="B78" s="4" t="str">
        <f t="shared" si="11"/>
        <v>AAAI</v>
      </c>
      <c r="C78" s="4" t="str">
        <f>VLOOKUP($A78,Questions!$A$3:$L$333,2,0)&amp;""</f>
        <v>Does your solution support single sign-on (SSO) protocols for user and administrator authentication?*</v>
      </c>
      <c r="D78" s="4" t="str">
        <f>VLOOKUP($A78,Questions!$A$3:$L$333,11,0)&amp;""</f>
        <v/>
      </c>
      <c r="E78" s="4" t="str">
        <f>VLOOKUP($A78,Questions!$A$3:$L$333,12,0)&amp;""</f>
        <v>Product</v>
      </c>
      <c r="F78" s="4" t="str">
        <f>VLOOKUP($A78,'Institution Evaluation'!$A$56:$K$345,3,0)&amp;""</f>
        <v>Yes</v>
      </c>
      <c r="G78" s="4" t="str">
        <f>VLOOKUP($A78,'Institution Evaluation'!$A$56:$K$345,7,0)&amp;""</f>
        <v>Yes</v>
      </c>
      <c r="H78" s="4" t="str">
        <f>VLOOKUP($A78,'Institution Evaluation'!$A$56:$K$345,8,0)&amp;""</f>
        <v/>
      </c>
      <c r="I78" s="4" t="str">
        <f>VLOOKUP($A78,'Institution Evaluation'!$A$56:$K$345,9,0)&amp;""</f>
        <v>Critical Importance</v>
      </c>
      <c r="J78" s="4" t="str">
        <f>VLOOKUP($A78,'Institution Evaluation'!$A$56:$K$345,10,0)&amp;""</f>
        <v/>
      </c>
      <c r="K78" s="4">
        <f>IF($I78='Auto Responses'!$J$11,20,IF($I78='Auto Responses'!$J$13,5,10))</f>
        <v>20</v>
      </c>
      <c r="L78" s="107">
        <f>IF($E78='Auto Responses'!$L$13, 'Auto Responses'!$J$5,IF(AND($D78='Auto Responses'!$J$27,$H78=""),'Auto Responses'!$J$5,IF(AND($D78='Auto Responses'!$J$27,$H78='Auto Responses'!$J$7),1,IF(AND($D78='Auto Responses'!$J$27,$H78='Auto Responses'!$J$8),0,IF(OR(AND($F78=$G78,$H78=""),$H78='Auto Responses'!$J$7),1,0)))))</f>
        <v>1</v>
      </c>
      <c r="M78" s="4" t="str">
        <f>VLOOKUP($A78,'Institution Evaluation'!$A$56:$K$345,11,0)&amp;""</f>
        <v>FALSE</v>
      </c>
      <c r="N78" s="4">
        <f>IF($J78='Auto Responses'!$J$11,1,IF(AND($J78="",$I78='Auto Responses'!$J$11),1,0))</f>
        <v>1</v>
      </c>
      <c r="O78" s="107">
        <f>IF(OR($F$17='Auto Responses'!$J$4,$E78='Auto Responses'!$L$13,$F78='Auto Responses'!$J$5),'Auto Responses'!$J$5,IF($J78="",$K78,IF($J78='Auto Responses'!$J$13,5,IF($J78='Auto Responses'!$J$12,10,IF($J78='Auto Responses'!$J$11,20,0)))))</f>
        <v>20</v>
      </c>
      <c r="P78" s="107">
        <f>IF(OR($O78='Auto Responses'!$J$5,$L78='Auto Responses'!$J$5),'Auto Responses'!$J$5,$O78*$L78)</f>
        <v>20</v>
      </c>
      <c r="Q78" s="107">
        <f t="shared" si="7"/>
        <v>0</v>
      </c>
      <c r="R78" s="107">
        <f t="shared" si="12"/>
        <v>0</v>
      </c>
      <c r="S78" s="107">
        <f t="shared" si="8"/>
        <v>0</v>
      </c>
      <c r="T78" s="107">
        <f t="shared" si="9"/>
        <v>1</v>
      </c>
      <c r="U78" s="107">
        <f t="shared" si="13"/>
        <v>22</v>
      </c>
      <c r="V78" s="107">
        <f t="shared" si="10"/>
        <v>22</v>
      </c>
    </row>
    <row r="79" spans="1:22" ht="55.2" x14ac:dyDescent="0.3">
      <c r="A79" s="4" t="str">
        <f>Questions!$A79</f>
        <v>AAAI-02</v>
      </c>
      <c r="B79" s="4" t="str">
        <f t="shared" si="11"/>
        <v>AAAI</v>
      </c>
      <c r="C79" s="4" t="str">
        <f>VLOOKUP($A79,Questions!$A$3:$L$333,2,0)&amp;""</f>
        <v>For customers not using SSO, does your solution support local authentication protocols for user and administrator authentication?*</v>
      </c>
      <c r="D79" s="4" t="str">
        <f>VLOOKUP($A79,Questions!$A$3:$L$333,11,0)&amp;""</f>
        <v/>
      </c>
      <c r="E79" s="4" t="str">
        <f>VLOOKUP($A79,Questions!$A$3:$L$333,12,0)&amp;""</f>
        <v>Product</v>
      </c>
      <c r="F79" s="4" t="str">
        <f>VLOOKUP($A79,'Institution Evaluation'!$A$56:$K$345,3,0)&amp;""</f>
        <v>Yes</v>
      </c>
      <c r="G79" s="4" t="str">
        <f>VLOOKUP($A79,'Institution Evaluation'!$A$56:$K$345,7,0)&amp;""</f>
        <v>Yes</v>
      </c>
      <c r="H79" s="4" t="str">
        <f>VLOOKUP($A79,'Institution Evaluation'!$A$56:$K$345,8,0)&amp;""</f>
        <v/>
      </c>
      <c r="I79" s="4" t="str">
        <f>VLOOKUP($A79,'Institution Evaluation'!$A$56:$K$345,9,0)&amp;""</f>
        <v>Critical Importance</v>
      </c>
      <c r="J79" s="4" t="str">
        <f>VLOOKUP($A79,'Institution Evaluation'!$A$56:$K$345,10,0)&amp;""</f>
        <v/>
      </c>
      <c r="K79" s="4">
        <f>IF($I79='Auto Responses'!$J$11,20,IF($I79='Auto Responses'!$J$13,5,10))</f>
        <v>20</v>
      </c>
      <c r="L79" s="107">
        <f>IF($E79='Auto Responses'!$L$13, 'Auto Responses'!$J$5,IF(AND($D79='Auto Responses'!$J$27,$H79=""),'Auto Responses'!$J$5,IF(AND($D79='Auto Responses'!$J$27,$H79='Auto Responses'!$J$7),1,IF(AND($D79='Auto Responses'!$J$27,$H79='Auto Responses'!$J$8),0,IF(OR(AND($F79=$G79,$H79=""),$H79='Auto Responses'!$J$7),1,0)))))</f>
        <v>1</v>
      </c>
      <c r="M79" s="4" t="str">
        <f>VLOOKUP($A79,'Institution Evaluation'!$A$56:$K$345,11,0)&amp;""</f>
        <v>FALSE</v>
      </c>
      <c r="N79" s="4">
        <f>IF($J79='Auto Responses'!$J$11,1,IF(AND($J79="",$I79='Auto Responses'!$J$11),1,0))</f>
        <v>1</v>
      </c>
      <c r="O79" s="107">
        <f>IF(OR($F$17='Auto Responses'!$J$4,$E79='Auto Responses'!$L$13,$F79='Auto Responses'!$J$5),'Auto Responses'!$J$5,IF($J79="",$K79,IF($J79='Auto Responses'!$J$13,5,IF($J79='Auto Responses'!$J$12,10,IF($J79='Auto Responses'!$J$11,20,0)))))</f>
        <v>20</v>
      </c>
      <c r="P79" s="107">
        <f>IF(OR($O79='Auto Responses'!$J$5,$L79='Auto Responses'!$J$5),'Auto Responses'!$J$5,$O79*$L79)</f>
        <v>20</v>
      </c>
      <c r="Q79" s="107">
        <f t="shared" si="7"/>
        <v>0</v>
      </c>
      <c r="R79" s="107">
        <f t="shared" si="12"/>
        <v>0</v>
      </c>
      <c r="S79" s="107">
        <f t="shared" si="8"/>
        <v>0</v>
      </c>
      <c r="T79" s="107">
        <f t="shared" si="9"/>
        <v>1</v>
      </c>
      <c r="U79" s="107">
        <f t="shared" si="13"/>
        <v>23</v>
      </c>
      <c r="V79" s="107">
        <f t="shared" si="10"/>
        <v>23</v>
      </c>
    </row>
    <row r="80" spans="1:22" ht="55.2" x14ac:dyDescent="0.3">
      <c r="A80" s="4" t="str">
        <f>Questions!$A80</f>
        <v>AAAI-03</v>
      </c>
      <c r="B80" s="4" t="str">
        <f t="shared" si="11"/>
        <v>AAAI</v>
      </c>
      <c r="C80" s="4" t="str">
        <f>VLOOKUP($A80,Questions!$A$3:$L$333,2,0)&amp;""</f>
        <v>For customers not using SSO, can you enforce password/passphrase complexity requirements (provided by the institution)?*</v>
      </c>
      <c r="D80" s="4" t="str">
        <f>VLOOKUP($A80,Questions!$A$3:$L$333,11,0)&amp;""</f>
        <v/>
      </c>
      <c r="E80" s="4" t="str">
        <f>VLOOKUP($A80,Questions!$A$3:$L$333,12,0)&amp;""</f>
        <v>Product</v>
      </c>
      <c r="F80" s="4" t="str">
        <f>VLOOKUP($A80,'Institution Evaluation'!$A$56:$K$345,3,0)&amp;""</f>
        <v>Yes</v>
      </c>
      <c r="G80" s="4" t="str">
        <f>VLOOKUP($A80,'Institution Evaluation'!$A$56:$K$345,7,0)&amp;""</f>
        <v>Yes</v>
      </c>
      <c r="H80" s="4" t="str">
        <f>VLOOKUP($A80,'Institution Evaluation'!$A$56:$K$345,8,0)&amp;""</f>
        <v/>
      </c>
      <c r="I80" s="4" t="str">
        <f>VLOOKUP($A80,'Institution Evaluation'!$A$56:$K$345,9,0)&amp;""</f>
        <v>Critical Importance</v>
      </c>
      <c r="J80" s="4" t="str">
        <f>VLOOKUP($A80,'Institution Evaluation'!$A$56:$K$345,10,0)&amp;""</f>
        <v/>
      </c>
      <c r="K80" s="4">
        <f>IF($I80='Auto Responses'!$J$11,20,IF($I80='Auto Responses'!$J$13,5,10))</f>
        <v>20</v>
      </c>
      <c r="L80" s="107">
        <f>IF($E80='Auto Responses'!$L$13, 'Auto Responses'!$J$5,IF(AND($D80='Auto Responses'!$J$27,$H80=""),'Auto Responses'!$J$5,IF(AND($D80='Auto Responses'!$J$27,$H80='Auto Responses'!$J$7),1,IF(AND($D80='Auto Responses'!$J$27,$H80='Auto Responses'!$J$8),0,IF(OR(AND($F80=$G80,$H80=""),$H80='Auto Responses'!$J$7),1,0)))))</f>
        <v>1</v>
      </c>
      <c r="M80" s="4" t="str">
        <f>VLOOKUP($A80,'Institution Evaluation'!$A$56:$K$345,11,0)&amp;""</f>
        <v>FALSE</v>
      </c>
      <c r="N80" s="4">
        <f>IF($J80='Auto Responses'!$J$11,1,IF(AND($J80="",$I80='Auto Responses'!$J$11),1,0))</f>
        <v>1</v>
      </c>
      <c r="O80" s="107">
        <f>IF(OR($F$17='Auto Responses'!$J$4,$E80='Auto Responses'!$L$13,$F80='Auto Responses'!$J$5),'Auto Responses'!$J$5,IF($J80="",$K80,IF($J80='Auto Responses'!$J$13,5,IF($J80='Auto Responses'!$J$12,10,IF($J80='Auto Responses'!$J$11,20,0)))))</f>
        <v>20</v>
      </c>
      <c r="P80" s="107">
        <f>IF(OR($O80='Auto Responses'!$J$5,$L80='Auto Responses'!$J$5),'Auto Responses'!$J$5,$O80*$L80)</f>
        <v>20</v>
      </c>
      <c r="Q80" s="107">
        <f t="shared" si="7"/>
        <v>0</v>
      </c>
      <c r="R80" s="107">
        <f t="shared" si="12"/>
        <v>0</v>
      </c>
      <c r="S80" s="107">
        <f t="shared" si="8"/>
        <v>0</v>
      </c>
      <c r="T80" s="107">
        <f t="shared" si="9"/>
        <v>1</v>
      </c>
      <c r="U80" s="107">
        <f t="shared" si="13"/>
        <v>24</v>
      </c>
      <c r="V80" s="107">
        <f t="shared" si="10"/>
        <v>24</v>
      </c>
    </row>
    <row r="81" spans="1:22" ht="55.2" x14ac:dyDescent="0.3">
      <c r="A81" s="4" t="str">
        <f>Questions!$A81</f>
        <v>AAAI-04</v>
      </c>
      <c r="B81" s="4" t="str">
        <f t="shared" si="11"/>
        <v>AAAI</v>
      </c>
      <c r="C81" s="4" t="str">
        <f>VLOOKUP($A81,Questions!$A$3:$L$333,2,0)&amp;""</f>
        <v>For customers not using SSO, does the system have password complexity or length limitations and/or restrictions?*</v>
      </c>
      <c r="D81" s="4" t="str">
        <f>VLOOKUP($A81,Questions!$A$3:$L$333,11,0)&amp;""</f>
        <v/>
      </c>
      <c r="E81" s="4" t="str">
        <f>VLOOKUP($A81,Questions!$A$3:$L$333,12,0)&amp;""</f>
        <v>Product</v>
      </c>
      <c r="F81" s="4" t="str">
        <f>VLOOKUP($A81,'Institution Evaluation'!$A$56:$K$345,3,0)&amp;""</f>
        <v>Yes</v>
      </c>
      <c r="G81" s="4" t="str">
        <f>VLOOKUP($A81,'Institution Evaluation'!$A$56:$K$345,7,0)&amp;""</f>
        <v>No</v>
      </c>
      <c r="H81" s="4" t="str">
        <f>VLOOKUP($A81,'Institution Evaluation'!$A$56:$K$345,8,0)&amp;""</f>
        <v/>
      </c>
      <c r="I81" s="4" t="str">
        <f>VLOOKUP($A81,'Institution Evaluation'!$A$56:$K$345,9,0)&amp;""</f>
        <v>Critical Importance</v>
      </c>
      <c r="J81" s="4" t="str">
        <f>VLOOKUP($A81,'Institution Evaluation'!$A$56:$K$345,10,0)&amp;""</f>
        <v/>
      </c>
      <c r="K81" s="4">
        <f>IF($I81='Auto Responses'!$J$11,20,IF($I81='Auto Responses'!$J$13,5,10))</f>
        <v>20</v>
      </c>
      <c r="L81" s="107">
        <f>IF($E81='Auto Responses'!$L$13, 'Auto Responses'!$J$5,IF(AND($D81='Auto Responses'!$J$27,$H81=""),'Auto Responses'!$J$5,IF(AND($D81='Auto Responses'!$J$27,$H81='Auto Responses'!$J$7),1,IF(AND($D81='Auto Responses'!$J$27,$H81='Auto Responses'!$J$8),0,IF(OR(AND($F81=$G81,$H81=""),$H81='Auto Responses'!$J$7),1,0)))))</f>
        <v>0</v>
      </c>
      <c r="M81" s="4" t="str">
        <f>VLOOKUP($A81,'Institution Evaluation'!$A$56:$K$345,11,0)&amp;""</f>
        <v>FALSE</v>
      </c>
      <c r="N81" s="4">
        <f>IF($J81='Auto Responses'!$J$11,1,IF(AND($J81="",$I81='Auto Responses'!$J$11),1,0))</f>
        <v>1</v>
      </c>
      <c r="O81" s="107">
        <f>IF(OR($F$17='Auto Responses'!$J$4,$E81='Auto Responses'!$L$13,$F81='Auto Responses'!$J$5),'Auto Responses'!$J$5,IF($J81="",$K81,IF($J81='Auto Responses'!$J$13,5,IF($J81='Auto Responses'!$J$12,10,IF($J81='Auto Responses'!$J$11,20,0)))))</f>
        <v>20</v>
      </c>
      <c r="P81" s="107">
        <f>IF(OR($O81='Auto Responses'!$J$5,$L81='Auto Responses'!$J$5),'Auto Responses'!$J$5,$O81*$L81)</f>
        <v>0</v>
      </c>
      <c r="Q81" s="107">
        <f t="shared" si="7"/>
        <v>0</v>
      </c>
      <c r="R81" s="107">
        <f t="shared" si="12"/>
        <v>0</v>
      </c>
      <c r="S81" s="107">
        <f t="shared" si="8"/>
        <v>0</v>
      </c>
      <c r="T81" s="107">
        <f t="shared" si="9"/>
        <v>1</v>
      </c>
      <c r="U81" s="107">
        <f t="shared" si="13"/>
        <v>25</v>
      </c>
      <c r="V81" s="107">
        <f t="shared" si="10"/>
        <v>25</v>
      </c>
    </row>
    <row r="82" spans="1:22" ht="55.2" x14ac:dyDescent="0.3">
      <c r="A82" s="4" t="str">
        <f>Questions!$A82</f>
        <v>AAAI-05</v>
      </c>
      <c r="B82" s="4" t="str">
        <f t="shared" si="11"/>
        <v>AAAI</v>
      </c>
      <c r="C82" s="4" t="str">
        <f>VLOOKUP($A82,Questions!$A$3:$L$333,2,0)&amp;""</f>
        <v>For customers not using SSO, do you have documented password/passphrase reset procedures that are currently implemented in the system and/or customer support?*</v>
      </c>
      <c r="D82" s="4" t="str">
        <f>VLOOKUP($A82,Questions!$A$3:$L$333,11,0)&amp;""</f>
        <v/>
      </c>
      <c r="E82" s="4" t="str">
        <f>VLOOKUP($A82,Questions!$A$3:$L$333,12,0)&amp;""</f>
        <v>Product</v>
      </c>
      <c r="F82" s="4" t="str">
        <f>VLOOKUP($A82,'Institution Evaluation'!$A$56:$K$345,3,0)&amp;""</f>
        <v>Yes</v>
      </c>
      <c r="G82" s="4" t="str">
        <f>VLOOKUP($A82,'Institution Evaluation'!$A$56:$K$345,7,0)&amp;""</f>
        <v>Yes</v>
      </c>
      <c r="H82" s="4" t="str">
        <f>VLOOKUP($A82,'Institution Evaluation'!$A$56:$K$345,8,0)&amp;""</f>
        <v/>
      </c>
      <c r="I82" s="4" t="str">
        <f>VLOOKUP($A82,'Institution Evaluation'!$A$56:$K$345,9,0)&amp;""</f>
        <v>Critical Importance</v>
      </c>
      <c r="J82" s="4" t="str">
        <f>VLOOKUP($A82,'Institution Evaluation'!$A$56:$K$345,10,0)&amp;""</f>
        <v/>
      </c>
      <c r="K82" s="4">
        <f>IF($I82='Auto Responses'!$J$11,20,IF($I82='Auto Responses'!$J$13,5,10))</f>
        <v>20</v>
      </c>
      <c r="L82" s="107">
        <f>IF($E82='Auto Responses'!$L$13, 'Auto Responses'!$J$5,IF(AND($D82='Auto Responses'!$J$27,$H82=""),'Auto Responses'!$J$5,IF(AND($D82='Auto Responses'!$J$27,$H82='Auto Responses'!$J$7),1,IF(AND($D82='Auto Responses'!$J$27,$H82='Auto Responses'!$J$8),0,IF(OR(AND($F82=$G82,$H82=""),$H82='Auto Responses'!$J$7),1,0)))))</f>
        <v>1</v>
      </c>
      <c r="M82" s="4" t="str">
        <f>VLOOKUP($A82,'Institution Evaluation'!$A$56:$K$345,11,0)&amp;""</f>
        <v>FALSE</v>
      </c>
      <c r="N82" s="4">
        <f>IF($J82='Auto Responses'!$J$11,1,IF(AND($J82="",$I82='Auto Responses'!$J$11),1,0))</f>
        <v>1</v>
      </c>
      <c r="O82" s="107">
        <f>IF(OR($F$17='Auto Responses'!$J$4,$E82='Auto Responses'!$L$13,$F82='Auto Responses'!$J$5),'Auto Responses'!$J$5,IF($J82="",$K82,IF($J82='Auto Responses'!$J$13,5,IF($J82='Auto Responses'!$J$12,10,IF($J82='Auto Responses'!$J$11,20,0)))))</f>
        <v>20</v>
      </c>
      <c r="P82" s="107">
        <f>IF(OR($O82='Auto Responses'!$J$5,$L82='Auto Responses'!$J$5),'Auto Responses'!$J$5,$O82*$L82)</f>
        <v>20</v>
      </c>
      <c r="Q82" s="107">
        <f t="shared" si="7"/>
        <v>0</v>
      </c>
      <c r="R82" s="107">
        <f t="shared" si="12"/>
        <v>0</v>
      </c>
      <c r="S82" s="107">
        <f t="shared" si="8"/>
        <v>0</v>
      </c>
      <c r="T82" s="107">
        <f t="shared" si="9"/>
        <v>1</v>
      </c>
      <c r="U82" s="107">
        <f t="shared" si="13"/>
        <v>26</v>
      </c>
      <c r="V82" s="107">
        <f t="shared" si="10"/>
        <v>26</v>
      </c>
    </row>
    <row r="83" spans="1:22" ht="55.2" x14ac:dyDescent="0.3">
      <c r="A83" s="4" t="str">
        <f>Questions!$A83</f>
        <v>AAAI-06</v>
      </c>
      <c r="B83" s="4" t="str">
        <f t="shared" si="11"/>
        <v>AAAI</v>
      </c>
      <c r="C83" s="4" t="str">
        <f>VLOOKUP($A83,Questions!$A$3:$L$333,2,0)&amp;""</f>
        <v>Does your organization participate in InCommon or another eduGAIN-affiliated trust federation?*</v>
      </c>
      <c r="D83" s="4" t="str">
        <f>VLOOKUP($A83,Questions!$A$3:$L$333,11,0)&amp;""</f>
        <v/>
      </c>
      <c r="E83" s="4" t="str">
        <f>VLOOKUP($A83,Questions!$A$3:$L$333,12,0)&amp;""</f>
        <v>Product</v>
      </c>
      <c r="F83" s="4" t="str">
        <f>VLOOKUP($A83,'Institution Evaluation'!$A$56:$K$345,3,0)&amp;""</f>
        <v>No</v>
      </c>
      <c r="G83" s="4" t="str">
        <f>VLOOKUP($A83,'Institution Evaluation'!$A$56:$K$345,7,0)&amp;""</f>
        <v>Yes</v>
      </c>
      <c r="H83" s="4" t="str">
        <f>VLOOKUP($A83,'Institution Evaluation'!$A$56:$K$345,8,0)&amp;""</f>
        <v/>
      </c>
      <c r="I83" s="4" t="str">
        <f>VLOOKUP($A83,'Institution Evaluation'!$A$56:$K$345,9,0)&amp;""</f>
        <v>Critical Importance</v>
      </c>
      <c r="J83" s="4" t="str">
        <f>VLOOKUP($A83,'Institution Evaluation'!$A$56:$K$345,10,0)&amp;""</f>
        <v/>
      </c>
      <c r="K83" s="4">
        <f>IF($I83='Auto Responses'!$J$11,20,IF($I83='Auto Responses'!$J$13,5,10))</f>
        <v>20</v>
      </c>
      <c r="L83" s="107">
        <f>IF($E83='Auto Responses'!$L$13, 'Auto Responses'!$J$5,IF(AND($D83='Auto Responses'!$J$27,$H83=""),'Auto Responses'!$J$5,IF(AND($D83='Auto Responses'!$J$27,$H83='Auto Responses'!$J$7),1,IF(AND($D83='Auto Responses'!$J$27,$H83='Auto Responses'!$J$8),0,IF(OR(AND($F83=$G83,$H83=""),$H83='Auto Responses'!$J$7),1,0)))))</f>
        <v>0</v>
      </c>
      <c r="M83" s="4" t="str">
        <f>VLOOKUP($A83,'Institution Evaluation'!$A$56:$K$345,11,0)&amp;""</f>
        <v>FALSE</v>
      </c>
      <c r="N83" s="4">
        <f>IF($J83='Auto Responses'!$J$11,1,IF(AND($J83="",$I83='Auto Responses'!$J$11),1,0))</f>
        <v>1</v>
      </c>
      <c r="O83" s="107">
        <f>IF(OR($F$17='Auto Responses'!$J$4,$E83='Auto Responses'!$L$13,$F83='Auto Responses'!$J$5),'Auto Responses'!$J$5,IF($J83="",$K83,IF($J83='Auto Responses'!$J$13,5,IF($J83='Auto Responses'!$J$12,10,IF($J83='Auto Responses'!$J$11,20,0)))))</f>
        <v>20</v>
      </c>
      <c r="P83" s="107">
        <f>IF(OR($O83='Auto Responses'!$J$5,$L83='Auto Responses'!$J$5),'Auto Responses'!$J$5,$O83*$L83)</f>
        <v>0</v>
      </c>
      <c r="Q83" s="107">
        <f t="shared" si="7"/>
        <v>0</v>
      </c>
      <c r="R83" s="107">
        <f t="shared" si="12"/>
        <v>0</v>
      </c>
      <c r="S83" s="107">
        <f t="shared" si="8"/>
        <v>0</v>
      </c>
      <c r="T83" s="107">
        <f t="shared" si="9"/>
        <v>1</v>
      </c>
      <c r="U83" s="107">
        <f t="shared" si="13"/>
        <v>27</v>
      </c>
      <c r="V83" s="107">
        <f t="shared" si="10"/>
        <v>27</v>
      </c>
    </row>
    <row r="84" spans="1:22" ht="55.2" x14ac:dyDescent="0.3">
      <c r="A84" s="4" t="str">
        <f>Questions!$A84</f>
        <v>AAAI-07</v>
      </c>
      <c r="B84" s="4" t="str">
        <f t="shared" si="11"/>
        <v>AAAI</v>
      </c>
      <c r="C84" s="4" t="str">
        <f>VLOOKUP($A84,Questions!$A$3:$L$333,2,0)&amp;""</f>
        <v>Are there any passwords/passphrases hard-coded into your systems or solutions?*</v>
      </c>
      <c r="D84" s="4" t="str">
        <f>VLOOKUP($A84,Questions!$A$3:$L$333,11,0)&amp;""</f>
        <v/>
      </c>
      <c r="E84" s="4" t="str">
        <f>VLOOKUP($A84,Questions!$A$3:$L$333,12,0)&amp;""</f>
        <v>Product</v>
      </c>
      <c r="F84" s="4" t="str">
        <f>VLOOKUP($A84,'Institution Evaluation'!$A$56:$K$345,3,0)&amp;""</f>
        <v>No</v>
      </c>
      <c r="G84" s="4" t="str">
        <f>VLOOKUP($A84,'Institution Evaluation'!$A$56:$K$345,7,0)&amp;""</f>
        <v>No</v>
      </c>
      <c r="H84" s="4" t="str">
        <f>VLOOKUP($A84,'Institution Evaluation'!$A$56:$K$345,8,0)&amp;""</f>
        <v/>
      </c>
      <c r="I84" s="4" t="str">
        <f>VLOOKUP($A84,'Institution Evaluation'!$A$56:$K$345,9,0)&amp;""</f>
        <v>Critical Importance</v>
      </c>
      <c r="J84" s="4" t="str">
        <f>VLOOKUP($A84,'Institution Evaluation'!$A$56:$K$345,10,0)&amp;""</f>
        <v/>
      </c>
      <c r="K84" s="4">
        <f>IF($I84='Auto Responses'!$J$11,20,IF($I84='Auto Responses'!$J$13,5,10))</f>
        <v>20</v>
      </c>
      <c r="L84" s="107">
        <f>IF($E84='Auto Responses'!$L$13, 'Auto Responses'!$J$5,IF(AND($D84='Auto Responses'!$J$27,$H84=""),'Auto Responses'!$J$5,IF(AND($D84='Auto Responses'!$J$27,$H84='Auto Responses'!$J$7),1,IF(AND($D84='Auto Responses'!$J$27,$H84='Auto Responses'!$J$8),0,IF(OR(AND($F84=$G84,$H84=""),$H84='Auto Responses'!$J$7),1,0)))))</f>
        <v>1</v>
      </c>
      <c r="M84" s="4" t="str">
        <f>VLOOKUP($A84,'Institution Evaluation'!$A$56:$K$345,11,0)&amp;""</f>
        <v>FALSE</v>
      </c>
      <c r="N84" s="4">
        <f>IF($J84='Auto Responses'!$J$11,1,IF(AND($J84="",$I84='Auto Responses'!$J$11),1,0))</f>
        <v>1</v>
      </c>
      <c r="O84" s="107">
        <f>IF(OR($F$17='Auto Responses'!$J$4,$E84='Auto Responses'!$L$13,$F84='Auto Responses'!$J$5),'Auto Responses'!$J$5,IF($J84="",$K84,IF($J84='Auto Responses'!$J$13,5,IF($J84='Auto Responses'!$J$12,10,IF($J84='Auto Responses'!$J$11,20,0)))))</f>
        <v>20</v>
      </c>
      <c r="P84" s="107">
        <f>IF(OR($O84='Auto Responses'!$J$5,$L84='Auto Responses'!$J$5),'Auto Responses'!$J$5,$O84*$L84)</f>
        <v>20</v>
      </c>
      <c r="Q84" s="107">
        <f t="shared" si="7"/>
        <v>0</v>
      </c>
      <c r="R84" s="107">
        <f t="shared" si="12"/>
        <v>0</v>
      </c>
      <c r="S84" s="107">
        <f t="shared" si="8"/>
        <v>0</v>
      </c>
      <c r="T84" s="107">
        <f t="shared" si="9"/>
        <v>1</v>
      </c>
      <c r="U84" s="107">
        <f t="shared" si="13"/>
        <v>28</v>
      </c>
      <c r="V84" s="107">
        <f t="shared" si="10"/>
        <v>28</v>
      </c>
    </row>
    <row r="85" spans="1:22" ht="55.2" x14ac:dyDescent="0.3">
      <c r="A85" s="4" t="str">
        <f>Questions!$A85</f>
        <v>AAAI-08</v>
      </c>
      <c r="B85" s="4" t="str">
        <f t="shared" si="11"/>
        <v>AAAI</v>
      </c>
      <c r="C85" s="4" t="str">
        <f>VLOOKUP($A85,Questions!$A$3:$L$333,2,0)&amp;""</f>
        <v>Are you storing any passwords in plaintext?*</v>
      </c>
      <c r="D85" s="4" t="str">
        <f>VLOOKUP($A85,Questions!$A$3:$L$333,11,0)&amp;""</f>
        <v/>
      </c>
      <c r="E85" s="4" t="str">
        <f>VLOOKUP($A85,Questions!$A$3:$L$333,12,0)&amp;""</f>
        <v>Product</v>
      </c>
      <c r="F85" s="4" t="str">
        <f>VLOOKUP($A85,'Institution Evaluation'!$A$56:$K$345,3,0)&amp;""</f>
        <v>No</v>
      </c>
      <c r="G85" s="4" t="str">
        <f>VLOOKUP($A85,'Institution Evaluation'!$A$56:$K$345,7,0)&amp;""</f>
        <v>No</v>
      </c>
      <c r="H85" s="4" t="str">
        <f>VLOOKUP($A85,'Institution Evaluation'!$A$56:$K$345,8,0)&amp;""</f>
        <v/>
      </c>
      <c r="I85" s="4" t="str">
        <f>VLOOKUP($A85,'Institution Evaluation'!$A$56:$K$345,9,0)&amp;""</f>
        <v>Critical Importance</v>
      </c>
      <c r="J85" s="4" t="str">
        <f>VLOOKUP($A85,'Institution Evaluation'!$A$56:$K$345,10,0)&amp;""</f>
        <v/>
      </c>
      <c r="K85" s="4">
        <f>IF($I85='Auto Responses'!$J$11,20,IF($I85='Auto Responses'!$J$13,5,10))</f>
        <v>20</v>
      </c>
      <c r="L85" s="107">
        <f>IF($E85='Auto Responses'!$L$13, 'Auto Responses'!$J$5,IF(AND($D85='Auto Responses'!$J$27,$H85=""),'Auto Responses'!$J$5,IF(AND($D85='Auto Responses'!$J$27,$H85='Auto Responses'!$J$7),1,IF(AND($D85='Auto Responses'!$J$27,$H85='Auto Responses'!$J$8),0,IF(OR(AND($F85=$G85,$H85=""),$H85='Auto Responses'!$J$7),1,0)))))</f>
        <v>1</v>
      </c>
      <c r="M85" s="4" t="str">
        <f>VLOOKUP($A85,'Institution Evaluation'!$A$56:$K$345,11,0)&amp;""</f>
        <v>FALSE</v>
      </c>
      <c r="N85" s="4">
        <f>IF($J85='Auto Responses'!$J$11,1,IF(AND($J85="",$I85='Auto Responses'!$J$11),1,0))</f>
        <v>1</v>
      </c>
      <c r="O85" s="107">
        <f>IF(OR($F$17='Auto Responses'!$J$4,$E85='Auto Responses'!$L$13,$F85='Auto Responses'!$J$5),'Auto Responses'!$J$5,IF($J85="",$K85,IF($J85='Auto Responses'!$J$13,5,IF($J85='Auto Responses'!$J$12,10,IF($J85='Auto Responses'!$J$11,20,0)))))</f>
        <v>20</v>
      </c>
      <c r="P85" s="107">
        <f>IF(OR($O85='Auto Responses'!$J$5,$L85='Auto Responses'!$J$5),'Auto Responses'!$J$5,$O85*$L85)</f>
        <v>20</v>
      </c>
      <c r="Q85" s="107">
        <f t="shared" si="7"/>
        <v>0</v>
      </c>
      <c r="R85" s="107">
        <f t="shared" si="12"/>
        <v>0</v>
      </c>
      <c r="S85" s="107">
        <f t="shared" si="8"/>
        <v>0</v>
      </c>
      <c r="T85" s="107">
        <f t="shared" si="9"/>
        <v>1</v>
      </c>
      <c r="U85" s="107">
        <f t="shared" si="13"/>
        <v>29</v>
      </c>
      <c r="V85" s="107">
        <f t="shared" si="10"/>
        <v>29</v>
      </c>
    </row>
    <row r="86" spans="1:22" ht="55.2" x14ac:dyDescent="0.3">
      <c r="A86" s="4" t="str">
        <f>Questions!$A86</f>
        <v>AAAI-09</v>
      </c>
      <c r="B86" s="4" t="str">
        <f t="shared" si="11"/>
        <v>AAAI</v>
      </c>
      <c r="C86" s="4" t="str">
        <f>VLOOKUP($A86,Questions!$A$3:$L$333,2,0)&amp;""</f>
        <v>Are audit logs available that include AT LEAST all of the following: login, logout, actions performed, and source IP address?*</v>
      </c>
      <c r="D86" s="4" t="str">
        <f>VLOOKUP($A86,Questions!$A$3:$L$333,11,0)&amp;""</f>
        <v/>
      </c>
      <c r="E86" s="4" t="str">
        <f>VLOOKUP($A86,Questions!$A$3:$L$333,12,0)&amp;""</f>
        <v>Product</v>
      </c>
      <c r="F86" s="4" t="str">
        <f>VLOOKUP($A86,'Institution Evaluation'!$A$56:$K$345,3,0)&amp;""</f>
        <v>Yes</v>
      </c>
      <c r="G86" s="4" t="str">
        <f>VLOOKUP($A86,'Institution Evaluation'!$A$56:$K$345,7,0)&amp;""</f>
        <v>Yes</v>
      </c>
      <c r="H86" s="4" t="str">
        <f>VLOOKUP($A86,'Institution Evaluation'!$A$56:$K$345,8,0)&amp;""</f>
        <v/>
      </c>
      <c r="I86" s="4" t="str">
        <f>VLOOKUP($A86,'Institution Evaluation'!$A$56:$K$345,9,0)&amp;""</f>
        <v>Critical Importance</v>
      </c>
      <c r="J86" s="4" t="str">
        <f>VLOOKUP($A86,'Institution Evaluation'!$A$56:$K$345,10,0)&amp;""</f>
        <v/>
      </c>
      <c r="K86" s="4">
        <f>IF($I86='Auto Responses'!$J$11,20,IF($I86='Auto Responses'!$J$13,5,10))</f>
        <v>20</v>
      </c>
      <c r="L86" s="107">
        <f>IF($E86='Auto Responses'!$L$13, 'Auto Responses'!$J$5,IF(AND($D86='Auto Responses'!$J$27,$H86=""),'Auto Responses'!$J$5,IF(AND($D86='Auto Responses'!$J$27,$H86='Auto Responses'!$J$7),1,IF(AND($D86='Auto Responses'!$J$27,$H86='Auto Responses'!$J$8),0,IF(OR(AND($F86=$G86,$H86=""),$H86='Auto Responses'!$J$7),1,0)))))</f>
        <v>1</v>
      </c>
      <c r="M86" s="4" t="str">
        <f>VLOOKUP($A86,'Institution Evaluation'!$A$56:$K$345,11,0)&amp;""</f>
        <v>FALSE</v>
      </c>
      <c r="N86" s="4">
        <f>IF($J86='Auto Responses'!$J$11,1,IF(AND($J86="",$I86='Auto Responses'!$J$11),1,0))</f>
        <v>1</v>
      </c>
      <c r="O86" s="107">
        <f>IF(OR($F$17='Auto Responses'!$J$4,$E86='Auto Responses'!$L$13,$F86='Auto Responses'!$J$5),'Auto Responses'!$J$5,IF($J86="",$K86,IF($J86='Auto Responses'!$J$13,5,IF($J86='Auto Responses'!$J$12,10,IF($J86='Auto Responses'!$J$11,20,0)))))</f>
        <v>20</v>
      </c>
      <c r="P86" s="107">
        <f>IF(OR($O86='Auto Responses'!$J$5,$L86='Auto Responses'!$J$5),'Auto Responses'!$J$5,$O86*$L86)</f>
        <v>20</v>
      </c>
      <c r="Q86" s="107">
        <f t="shared" si="7"/>
        <v>0</v>
      </c>
      <c r="R86" s="107">
        <f t="shared" si="12"/>
        <v>0</v>
      </c>
      <c r="S86" s="107">
        <f t="shared" si="8"/>
        <v>0</v>
      </c>
      <c r="T86" s="107">
        <f t="shared" si="9"/>
        <v>1</v>
      </c>
      <c r="U86" s="107">
        <f t="shared" si="13"/>
        <v>30</v>
      </c>
      <c r="V86" s="107">
        <f t="shared" si="10"/>
        <v>30</v>
      </c>
    </row>
    <row r="87" spans="1:22" ht="409.6" x14ac:dyDescent="0.3">
      <c r="A87" s="4" t="str">
        <f>Questions!$A87</f>
        <v>AAAI-10</v>
      </c>
      <c r="B87" s="4" t="str">
        <f t="shared" si="11"/>
        <v>AAAI</v>
      </c>
      <c r="C87" s="4" t="str">
        <f>VLOOKUP($A87,Questions!$A$3:$L$333,2,0)&amp;""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D87" s="4" t="str">
        <f>VLOOKUP($A87,Questions!$A$3:$L$333,11,0)&amp;""</f>
        <v/>
      </c>
      <c r="E87" s="4" t="str">
        <f>VLOOKUP($A87,Questions!$A$3:$L$333,12,0)&amp;""</f>
        <v>Not scored</v>
      </c>
      <c r="F87" s="4" t="str">
        <f>VLOOKUP($A87,'Institution Evaluation'!$A$56:$K$345,3,0)&amp;""</f>
        <v>Cursive's logging and monitoring architecture:
(a) System capability to log security/authorization changes and user/administrator security events:
— AWS CloudTrail logs all AWS API calls including IAM changes, security group modifications, KMS key operations, and S3 access events. CloudTrail logs are immutable and retained 3+ years per the Cursive Policies and Procedures.
— Application-layer API logs capture inference requests, authentication failures (LMS-token validation failures), rate-limit violations, schema validation rejections, and HMAC signature failures.
— GitHub audit log captures repository access, branch protection changes, and administrative actions on the source code.
— AWS WAF logs (when WAF is deployed as part of the EKS rebuild) will capture blocked requests, rate-limit triggers, and policy violations.
(b) Logging and monitoring requirements implemented:
— Centralized logging via AWS CloudWatch Logs with cross-service correlation through AWS X-Ray for distributed services (Lambda, SQS, SNS).
— Alerting on security-relevant events via CloudWatch alarms with notification to Founder/CEO on-call.
— Audit log immutability through CloudTrail's append-only model and S3 with bucket policies preventing log deletion.
(c) SIEM / log collector usage:
— No dedicated commercial SIEM (e.g., Splunk, Datadog, Sumo Logic) is currently deployed. AWS CloudWatch + CloudTrail + S3 archival serve as the centralized log aggregation layer. SIEM evaluation is on the security infrastructure roadmap as part of the EKS rebuild and AWS security certification effort. AWS Security Hub is being onboarded to provide centralized security finding aggregation across AWS services.</v>
      </c>
      <c r="G87" s="4" t="str">
        <f>VLOOKUP($A87,'Institution Evaluation'!$A$56:$K$345,7,0)&amp;""</f>
        <v>Not scored</v>
      </c>
      <c r="H87" s="4" t="str">
        <f>VLOOKUP($A87,'Institution Evaluation'!$A$56:$K$345,8,0)&amp;""</f>
        <v/>
      </c>
      <c r="I87" s="4" t="str">
        <f>VLOOKUP($A87,'Institution Evaluation'!$A$56:$K$345,9,0)&amp;""</f>
        <v/>
      </c>
      <c r="J87" s="4" t="str">
        <f>VLOOKUP($A87,'Institution Evaluation'!$A$56:$K$345,10,0)&amp;""</f>
        <v/>
      </c>
      <c r="K87" s="4">
        <f>IF($I87='Auto Responses'!$J$11,20,IF($I87='Auto Responses'!$J$13,5,10))</f>
        <v>10</v>
      </c>
      <c r="L87" s="107" t="str">
        <f>IF($E87='Auto Responses'!$L$13, 'Auto Responses'!$J$5,IF(AND($D87='Auto Responses'!$J$27,$H87=""),'Auto Responses'!$J$5,IF(AND($D87='Auto Responses'!$J$27,$H87='Auto Responses'!$J$7),1,IF(AND($D87='Auto Responses'!$J$27,$H87='Auto Responses'!$J$8),0,IF(OR(AND($F87=$G87,$H87=""),$H87='Auto Responses'!$J$7),1,0)))))</f>
        <v>N/A</v>
      </c>
      <c r="M87" s="4" t="str">
        <f>VLOOKUP($A87,'Institution Evaluation'!$A$56:$K$345,11,0)&amp;""</f>
        <v>FALSE</v>
      </c>
      <c r="N87" s="4">
        <f>IF($J87='Auto Responses'!$J$11,1,IF(AND($J87="",$I87='Auto Responses'!$J$11),1,0))</f>
        <v>0</v>
      </c>
      <c r="O87" s="107" t="str">
        <f>IF(OR($F$17='Auto Responses'!$J$4,$E87='Auto Responses'!$L$13,$F87='Auto Responses'!$J$5),'Auto Responses'!$J$5,IF($J87="",$K87,IF($J87='Auto Responses'!$J$13,5,IF($J87='Auto Responses'!$J$12,10,IF($J87='Auto Responses'!$J$11,20,0)))))</f>
        <v>N/A</v>
      </c>
      <c r="P87" s="107" t="str">
        <f>IF(OR($O87='Auto Responses'!$J$5,$L87='Auto Responses'!$J$5),'Auto Responses'!$J$5,$O87*$L87)</f>
        <v>N/A</v>
      </c>
      <c r="Q87" s="107">
        <f t="shared" si="7"/>
        <v>0</v>
      </c>
      <c r="R87" s="107">
        <f t="shared" si="12"/>
        <v>0</v>
      </c>
      <c r="S87" s="107">
        <f t="shared" si="8"/>
        <v>0</v>
      </c>
      <c r="T87" s="107">
        <f t="shared" si="9"/>
        <v>0</v>
      </c>
      <c r="U87" s="107">
        <f t="shared" si="13"/>
        <v>30</v>
      </c>
      <c r="V87" s="107">
        <f t="shared" si="10"/>
        <v>0</v>
      </c>
    </row>
    <row r="88" spans="1:22" ht="55.2" x14ac:dyDescent="0.3">
      <c r="A88" s="4" t="str">
        <f>Questions!$A88</f>
        <v>AAAI-11</v>
      </c>
      <c r="B88" s="4" t="str">
        <f t="shared" si="11"/>
        <v>AAAI</v>
      </c>
      <c r="C88" s="4" t="str">
        <f>VLOOKUP($A88,Questions!$A$3:$L$333,2,0)&amp;""</f>
        <v>Can you provide the institution documentation regarding the retention period for those logs, how logs are protected, and whether they are accessible to the customer (and if so, how)?*</v>
      </c>
      <c r="D88" s="4" t="str">
        <f>VLOOKUP($A88,Questions!$A$3:$L$333,11,0)&amp;""</f>
        <v/>
      </c>
      <c r="E88" s="4" t="str">
        <f>VLOOKUP($A88,Questions!$A$3:$L$333,12,0)&amp;""</f>
        <v>Product</v>
      </c>
      <c r="F88" s="4" t="str">
        <f>VLOOKUP($A88,'Institution Evaluation'!$A$56:$K$345,3,0)&amp;""</f>
        <v>Yes</v>
      </c>
      <c r="G88" s="4" t="str">
        <f>VLOOKUP($A88,'Institution Evaluation'!$A$56:$K$345,7,0)&amp;""</f>
        <v>Yes</v>
      </c>
      <c r="H88" s="4" t="str">
        <f>VLOOKUP($A88,'Institution Evaluation'!$A$56:$K$345,8,0)&amp;""</f>
        <v/>
      </c>
      <c r="I88" s="4" t="str">
        <f>VLOOKUP($A88,'Institution Evaluation'!$A$56:$K$345,9,0)&amp;""</f>
        <v>Critical Importance</v>
      </c>
      <c r="J88" s="4" t="str">
        <f>VLOOKUP($A88,'Institution Evaluation'!$A$56:$K$345,10,0)&amp;""</f>
        <v/>
      </c>
      <c r="K88" s="4">
        <f>IF($I88='Auto Responses'!$J$11,20,IF($I88='Auto Responses'!$J$13,5,10))</f>
        <v>20</v>
      </c>
      <c r="L88" s="107">
        <f>IF($E88='Auto Responses'!$L$13, 'Auto Responses'!$J$5,IF(AND($D88='Auto Responses'!$J$27,$H88=""),'Auto Responses'!$J$5,IF(AND($D88='Auto Responses'!$J$27,$H88='Auto Responses'!$J$7),1,IF(AND($D88='Auto Responses'!$J$27,$H88='Auto Responses'!$J$8),0,IF(OR(AND($F88=$G88,$H88=""),$H88='Auto Responses'!$J$7),1,0)))))</f>
        <v>1</v>
      </c>
      <c r="M88" s="4" t="str">
        <f>VLOOKUP($A88,'Institution Evaluation'!$A$56:$K$345,11,0)&amp;""</f>
        <v>FALSE</v>
      </c>
      <c r="N88" s="4">
        <f>IF($J88='Auto Responses'!$J$11,1,IF(AND($J88="",$I88='Auto Responses'!$J$11),1,0))</f>
        <v>1</v>
      </c>
      <c r="O88" s="107">
        <f>IF(OR($F$17='Auto Responses'!$J$4,$E88='Auto Responses'!$L$13,$F88='Auto Responses'!$J$5),'Auto Responses'!$J$5,IF($J88="",$K88,IF($J88='Auto Responses'!$J$13,5,IF($J88='Auto Responses'!$J$12,10,IF($J88='Auto Responses'!$J$11,20,0)))))</f>
        <v>20</v>
      </c>
      <c r="P88" s="107">
        <f>IF(OR($O88='Auto Responses'!$J$5,$L88='Auto Responses'!$J$5),'Auto Responses'!$J$5,$O88*$L88)</f>
        <v>20</v>
      </c>
      <c r="Q88" s="107">
        <f t="shared" si="7"/>
        <v>0</v>
      </c>
      <c r="R88" s="107">
        <f t="shared" si="12"/>
        <v>0</v>
      </c>
      <c r="S88" s="107">
        <f t="shared" si="8"/>
        <v>0</v>
      </c>
      <c r="T88" s="107">
        <f t="shared" si="9"/>
        <v>1</v>
      </c>
      <c r="U88" s="107">
        <f t="shared" si="13"/>
        <v>31</v>
      </c>
      <c r="V88" s="107">
        <f t="shared" si="10"/>
        <v>31</v>
      </c>
    </row>
    <row r="89" spans="1:22" ht="55.2" x14ac:dyDescent="0.3">
      <c r="A89" s="4" t="str">
        <f>Questions!$A89</f>
        <v>AAAI-12</v>
      </c>
      <c r="B89" s="4" t="str">
        <f t="shared" si="11"/>
        <v>AAAI</v>
      </c>
      <c r="C89" s="4" t="str">
        <f>VLOOKUP($A89,Questions!$A$3:$L$333,2,0)&amp;""</f>
        <v>For customers not using SSO, does your application support integration with other authentication and authorization systems?</v>
      </c>
      <c r="D89" s="4" t="str">
        <f>VLOOKUP($A89,Questions!$A$3:$L$333,11,0)&amp;""</f>
        <v/>
      </c>
      <c r="E89" s="4" t="str">
        <f>VLOOKUP($A89,Questions!$A$3:$L$333,12,0)&amp;""</f>
        <v>Product</v>
      </c>
      <c r="F89" s="4" t="str">
        <f>VLOOKUP($A89,'Institution Evaluation'!$A$56:$K$345,3,0)&amp;""</f>
        <v>Yes</v>
      </c>
      <c r="G89" s="4" t="str">
        <f>VLOOKUP($A89,'Institution Evaluation'!$A$56:$K$345,7,0)&amp;""</f>
        <v>Yes</v>
      </c>
      <c r="H89" s="4" t="str">
        <f>VLOOKUP($A89,'Institution Evaluation'!$A$56:$K$345,8,0)&amp;""</f>
        <v/>
      </c>
      <c r="I89" s="4" t="str">
        <f>VLOOKUP($A89,'Institution Evaluation'!$A$56:$K$345,9,0)&amp;""</f>
        <v>Standard Importance</v>
      </c>
      <c r="J89" s="4" t="str">
        <f>VLOOKUP($A89,'Institution Evaluation'!$A$56:$K$345,10,0)&amp;""</f>
        <v/>
      </c>
      <c r="K89" s="4">
        <f>IF($I89='Auto Responses'!$J$11,20,IF($I89='Auto Responses'!$J$13,5,10))</f>
        <v>10</v>
      </c>
      <c r="L89" s="107">
        <f>IF($E89='Auto Responses'!$L$13, 'Auto Responses'!$J$5,IF(AND($D89='Auto Responses'!$J$27,$H89=""),'Auto Responses'!$J$5,IF(AND($D89='Auto Responses'!$J$27,$H89='Auto Responses'!$J$7),1,IF(AND($D89='Auto Responses'!$J$27,$H89='Auto Responses'!$J$8),0,IF(OR(AND($F89=$G89,$H89=""),$H89='Auto Responses'!$J$7),1,0)))))</f>
        <v>1</v>
      </c>
      <c r="M89" s="4" t="str">
        <f>VLOOKUP($A89,'Institution Evaluation'!$A$56:$K$345,11,0)&amp;""</f>
        <v>FALSE</v>
      </c>
      <c r="N89" s="4">
        <f>IF($J89='Auto Responses'!$J$11,1,IF(AND($J89="",$I89='Auto Responses'!$J$11),1,0))</f>
        <v>0</v>
      </c>
      <c r="O89" s="107">
        <f>IF(OR($F$17='Auto Responses'!$J$4,$E89='Auto Responses'!$L$13,$F89='Auto Responses'!$J$5),'Auto Responses'!$J$5,IF($J89="",$K89,IF($J89='Auto Responses'!$J$13,5,IF($J89='Auto Responses'!$J$12,10,IF($J89='Auto Responses'!$J$11,20,0)))))</f>
        <v>10</v>
      </c>
      <c r="P89" s="107">
        <f>IF(OR($O89='Auto Responses'!$J$5,$L89='Auto Responses'!$J$5),'Auto Responses'!$J$5,$O89*$L89)</f>
        <v>10</v>
      </c>
      <c r="Q89" s="107">
        <f t="shared" si="7"/>
        <v>0</v>
      </c>
      <c r="R89" s="107">
        <f t="shared" si="12"/>
        <v>0</v>
      </c>
      <c r="S89" s="107">
        <f t="shared" si="8"/>
        <v>0</v>
      </c>
      <c r="T89" s="107">
        <f t="shared" si="9"/>
        <v>0</v>
      </c>
      <c r="U89" s="107">
        <f t="shared" si="13"/>
        <v>31</v>
      </c>
      <c r="V89" s="107">
        <f t="shared" si="10"/>
        <v>0</v>
      </c>
    </row>
    <row r="90" spans="1:22" ht="55.2" x14ac:dyDescent="0.3">
      <c r="A90" s="4" t="str">
        <f>Questions!$A90</f>
        <v>AAAI-13</v>
      </c>
      <c r="B90" s="4" t="str">
        <f t="shared" si="11"/>
        <v>AAAI</v>
      </c>
      <c r="C90" s="4" t="str">
        <f>VLOOKUP($A90,Questions!$A$3:$L$333,2,0)&amp;""</f>
        <v>Do you allow the customer to specify attribute mappings for any needed information beyond a user identifier? (e.g., Reference eduPerson, ePPA/ePPN/ePE)</v>
      </c>
      <c r="D90" s="4" t="str">
        <f>VLOOKUP($A90,Questions!$A$3:$L$333,11,0)&amp;""</f>
        <v/>
      </c>
      <c r="E90" s="4" t="str">
        <f>VLOOKUP($A90,Questions!$A$3:$L$333,12,0)&amp;""</f>
        <v>Product</v>
      </c>
      <c r="F90" s="4" t="str">
        <f>VLOOKUP($A90,'Institution Evaluation'!$A$56:$K$345,3,0)&amp;""</f>
        <v>No</v>
      </c>
      <c r="G90" s="4" t="str">
        <f>VLOOKUP($A90,'Institution Evaluation'!$A$56:$K$345,7,0)&amp;""</f>
        <v>Yes</v>
      </c>
      <c r="H90" s="4" t="str">
        <f>VLOOKUP($A90,'Institution Evaluation'!$A$56:$K$345,8,0)&amp;""</f>
        <v/>
      </c>
      <c r="I90" s="4" t="str">
        <f>VLOOKUP($A90,'Institution Evaluation'!$A$56:$K$345,9,0)&amp;""</f>
        <v>Standard Importance</v>
      </c>
      <c r="J90" s="4" t="str">
        <f>VLOOKUP($A90,'Institution Evaluation'!$A$56:$K$345,10,0)&amp;""</f>
        <v/>
      </c>
      <c r="K90" s="4">
        <f>IF($I90='Auto Responses'!$J$11,20,IF($I90='Auto Responses'!$J$13,5,10))</f>
        <v>10</v>
      </c>
      <c r="L90" s="107">
        <f>IF($E90='Auto Responses'!$L$13, 'Auto Responses'!$J$5,IF(AND($D90='Auto Responses'!$J$27,$H90=""),'Auto Responses'!$J$5,IF(AND($D90='Auto Responses'!$J$27,$H90='Auto Responses'!$J$7),1,IF(AND($D90='Auto Responses'!$J$27,$H90='Auto Responses'!$J$8),0,IF(OR(AND($F90=$G90,$H90=""),$H90='Auto Responses'!$J$7),1,0)))))</f>
        <v>0</v>
      </c>
      <c r="M90" s="4" t="str">
        <f>VLOOKUP($A90,'Institution Evaluation'!$A$56:$K$345,11,0)&amp;""</f>
        <v>FALSE</v>
      </c>
      <c r="N90" s="4">
        <f>IF($J90='Auto Responses'!$J$11,1,IF(AND($J90="",$I90='Auto Responses'!$J$11),1,0))</f>
        <v>0</v>
      </c>
      <c r="O90" s="107">
        <f>IF(OR($F$17='Auto Responses'!$J$4,$E90='Auto Responses'!$L$13,$F90='Auto Responses'!$J$5),'Auto Responses'!$J$5,IF($J90="",$K90,IF($J90='Auto Responses'!$J$13,5,IF($J90='Auto Responses'!$J$12,10,IF($J90='Auto Responses'!$J$11,20,0)))))</f>
        <v>10</v>
      </c>
      <c r="P90" s="107">
        <f>IF(OR($O90='Auto Responses'!$J$5,$L90='Auto Responses'!$J$5),'Auto Responses'!$J$5,$O90*$L90)</f>
        <v>0</v>
      </c>
      <c r="Q90" s="107">
        <f t="shared" si="7"/>
        <v>0</v>
      </c>
      <c r="R90" s="107">
        <f t="shared" si="12"/>
        <v>0</v>
      </c>
      <c r="S90" s="107">
        <f t="shared" si="8"/>
        <v>0</v>
      </c>
      <c r="T90" s="107">
        <f t="shared" si="9"/>
        <v>0</v>
      </c>
      <c r="U90" s="107">
        <f t="shared" si="13"/>
        <v>31</v>
      </c>
      <c r="V90" s="107">
        <f t="shared" si="10"/>
        <v>0</v>
      </c>
    </row>
    <row r="91" spans="1:22" ht="55.2" x14ac:dyDescent="0.3">
      <c r="A91" s="4" t="str">
        <f>Questions!$A91</f>
        <v>AAAI-14</v>
      </c>
      <c r="B91" s="4" t="str">
        <f t="shared" si="11"/>
        <v>AAAI</v>
      </c>
      <c r="C91" s="4" t="str">
        <f>VLOOKUP($A91,Questions!$A$3:$L$333,2,0)&amp;""</f>
        <v>For customers not using SSO, does your application support directory integration for user accounts?</v>
      </c>
      <c r="D91" s="4" t="str">
        <f>VLOOKUP($A91,Questions!$A$3:$L$333,11,0)&amp;""</f>
        <v/>
      </c>
      <c r="E91" s="4" t="str">
        <f>VLOOKUP($A91,Questions!$A$3:$L$333,12,0)&amp;""</f>
        <v>Product</v>
      </c>
      <c r="F91" s="4" t="str">
        <f>VLOOKUP($A91,'Institution Evaluation'!$A$56:$K$345,3,0)&amp;""</f>
        <v>Yes</v>
      </c>
      <c r="G91" s="4" t="str">
        <f>VLOOKUP($A91,'Institution Evaluation'!$A$56:$K$345,7,0)&amp;""</f>
        <v>Yes</v>
      </c>
      <c r="H91" s="4" t="str">
        <f>VLOOKUP($A91,'Institution Evaluation'!$A$56:$K$345,8,0)&amp;""</f>
        <v/>
      </c>
      <c r="I91" s="4" t="str">
        <f>VLOOKUP($A91,'Institution Evaluation'!$A$56:$K$345,9,0)&amp;""</f>
        <v>Standard Importance</v>
      </c>
      <c r="J91" s="4" t="str">
        <f>VLOOKUP($A91,'Institution Evaluation'!$A$56:$K$345,10,0)&amp;""</f>
        <v/>
      </c>
      <c r="K91" s="4">
        <f>IF($I91='Auto Responses'!$J$11,20,IF($I91='Auto Responses'!$J$13,5,10))</f>
        <v>10</v>
      </c>
      <c r="L91" s="107">
        <f>IF($E91='Auto Responses'!$L$13, 'Auto Responses'!$J$5,IF(AND($D91='Auto Responses'!$J$27,$H91=""),'Auto Responses'!$J$5,IF(AND($D91='Auto Responses'!$J$27,$H91='Auto Responses'!$J$7),1,IF(AND($D91='Auto Responses'!$J$27,$H91='Auto Responses'!$J$8),0,IF(OR(AND($F91=$G91,$H91=""),$H91='Auto Responses'!$J$7),1,0)))))</f>
        <v>1</v>
      </c>
      <c r="M91" s="4" t="str">
        <f>VLOOKUP($A91,'Institution Evaluation'!$A$56:$K$345,11,0)&amp;""</f>
        <v>FALSE</v>
      </c>
      <c r="N91" s="4">
        <f>IF($J91='Auto Responses'!$J$11,1,IF(AND($J91="",$I91='Auto Responses'!$J$11),1,0))</f>
        <v>0</v>
      </c>
      <c r="O91" s="107">
        <f>IF(OR($F$17='Auto Responses'!$J$4,$E91='Auto Responses'!$L$13,$F91='Auto Responses'!$J$5),'Auto Responses'!$J$5,IF($J91="",$K91,IF($J91='Auto Responses'!$J$13,5,IF($J91='Auto Responses'!$J$12,10,IF($J91='Auto Responses'!$J$11,20,0)))))</f>
        <v>10</v>
      </c>
      <c r="P91" s="107">
        <f>IF(OR($O91='Auto Responses'!$J$5,$L91='Auto Responses'!$J$5),'Auto Responses'!$J$5,$O91*$L91)</f>
        <v>10</v>
      </c>
      <c r="Q91" s="107">
        <f t="shared" si="7"/>
        <v>0</v>
      </c>
      <c r="R91" s="107">
        <f t="shared" si="12"/>
        <v>0</v>
      </c>
      <c r="S91" s="107">
        <f t="shared" si="8"/>
        <v>0</v>
      </c>
      <c r="T91" s="107">
        <f t="shared" si="9"/>
        <v>0</v>
      </c>
      <c r="U91" s="107">
        <f t="shared" si="13"/>
        <v>31</v>
      </c>
      <c r="V91" s="107">
        <f t="shared" si="10"/>
        <v>0</v>
      </c>
    </row>
    <row r="92" spans="1:22" ht="55.2" x14ac:dyDescent="0.3">
      <c r="A92" s="4" t="str">
        <f>Questions!$A92</f>
        <v>AAAI-15</v>
      </c>
      <c r="B92" s="4" t="str">
        <f t="shared" si="11"/>
        <v>AAAI</v>
      </c>
      <c r="C92" s="4" t="str">
        <f>VLOOKUP($A92,Questions!$A$3:$L$333,2,0)&amp;""</f>
        <v>Does your solution support any of the following web SSO standards: SAML2 (with redirect flow), OIDC, CAS, or other?</v>
      </c>
      <c r="D92" s="4" t="str">
        <f>VLOOKUP($A92,Questions!$A$3:$L$333,11,0)&amp;""</f>
        <v/>
      </c>
      <c r="E92" s="4" t="str">
        <f>VLOOKUP($A92,Questions!$A$3:$L$333,12,0)&amp;""</f>
        <v>Product</v>
      </c>
      <c r="F92" s="4" t="str">
        <f>VLOOKUP($A92,'Institution Evaluation'!$A$56:$K$345,3,0)&amp;""</f>
        <v>Yes</v>
      </c>
      <c r="G92" s="4" t="str">
        <f>VLOOKUP($A92,'Institution Evaluation'!$A$56:$K$345,7,0)&amp;""</f>
        <v>Yes</v>
      </c>
      <c r="H92" s="4" t="str">
        <f>VLOOKUP($A92,'Institution Evaluation'!$A$56:$K$345,8,0)&amp;""</f>
        <v/>
      </c>
      <c r="I92" s="4" t="str">
        <f>VLOOKUP($A92,'Institution Evaluation'!$A$56:$K$345,9,0)&amp;""</f>
        <v>Minor Importance</v>
      </c>
      <c r="J92" s="4" t="str">
        <f>VLOOKUP($A92,'Institution Evaluation'!$A$56:$K$345,10,0)&amp;""</f>
        <v/>
      </c>
      <c r="K92" s="4">
        <f>IF($I92='Auto Responses'!$J$11,20,IF($I92='Auto Responses'!$J$13,5,10))</f>
        <v>5</v>
      </c>
      <c r="L92" s="107">
        <f>IF($E92='Auto Responses'!$L$13, 'Auto Responses'!$J$5,IF(AND($D92='Auto Responses'!$J$27,$H92=""),'Auto Responses'!$J$5,IF(AND($D92='Auto Responses'!$J$27,$H92='Auto Responses'!$J$7),1,IF(AND($D92='Auto Responses'!$J$27,$H92='Auto Responses'!$J$8),0,IF(OR(AND($F92=$G92,$H92=""),$H92='Auto Responses'!$J$7),1,0)))))</f>
        <v>1</v>
      </c>
      <c r="M92" s="4" t="str">
        <f>VLOOKUP($A92,'Institution Evaluation'!$A$56:$K$345,11,0)&amp;""</f>
        <v>FALSE</v>
      </c>
      <c r="N92" s="4">
        <f>IF($J92='Auto Responses'!$J$11,1,IF(AND($J92="",$I92='Auto Responses'!$J$11),1,0))</f>
        <v>0</v>
      </c>
      <c r="O92" s="107">
        <f>IF(OR($F$17='Auto Responses'!$J$4,$E92='Auto Responses'!$L$13,$F92='Auto Responses'!$J$5),'Auto Responses'!$J$5,IF($J92="",$K92,IF($J92='Auto Responses'!$J$13,5,IF($J92='Auto Responses'!$J$12,10,IF($J92='Auto Responses'!$J$11,20,0)))))</f>
        <v>5</v>
      </c>
      <c r="P92" s="107">
        <f>IF(OR($O92='Auto Responses'!$J$5,$L92='Auto Responses'!$J$5),'Auto Responses'!$J$5,$O92*$L92)</f>
        <v>5</v>
      </c>
      <c r="Q92" s="107">
        <f t="shared" si="7"/>
        <v>0</v>
      </c>
      <c r="R92" s="107">
        <f t="shared" si="12"/>
        <v>0</v>
      </c>
      <c r="S92" s="107">
        <f t="shared" si="8"/>
        <v>0</v>
      </c>
      <c r="T92" s="107">
        <f t="shared" si="9"/>
        <v>0</v>
      </c>
      <c r="U92" s="107">
        <f t="shared" si="13"/>
        <v>31</v>
      </c>
      <c r="V92" s="107">
        <f t="shared" si="10"/>
        <v>0</v>
      </c>
    </row>
    <row r="93" spans="1:22" ht="55.2" x14ac:dyDescent="0.3">
      <c r="A93" s="4" t="str">
        <f>Questions!$A93</f>
        <v>AAAI-16</v>
      </c>
      <c r="B93" s="4" t="str">
        <f t="shared" si="11"/>
        <v>AAAI</v>
      </c>
      <c r="C93" s="4" t="str">
        <f>VLOOKUP($A93,Questions!$A$3:$L$333,2,0)&amp;""</f>
        <v>Do you support differentiation between email address and user identifier?</v>
      </c>
      <c r="D93" s="4" t="str">
        <f>VLOOKUP($A93,Questions!$A$3:$L$333,11,0)&amp;""</f>
        <v/>
      </c>
      <c r="E93" s="4" t="str">
        <f>VLOOKUP($A93,Questions!$A$3:$L$333,12,0)&amp;""</f>
        <v>Product</v>
      </c>
      <c r="F93" s="4" t="str">
        <f>VLOOKUP($A93,'Institution Evaluation'!$A$56:$K$345,3,0)&amp;""</f>
        <v>No</v>
      </c>
      <c r="G93" s="4" t="str">
        <f>VLOOKUP($A93,'Institution Evaluation'!$A$56:$K$345,7,0)&amp;""</f>
        <v>Yes</v>
      </c>
      <c r="H93" s="4" t="str">
        <f>VLOOKUP($A93,'Institution Evaluation'!$A$56:$K$345,8,0)&amp;""</f>
        <v/>
      </c>
      <c r="I93" s="4" t="str">
        <f>VLOOKUP($A93,'Institution Evaluation'!$A$56:$K$345,9,0)&amp;""</f>
        <v>Minor Importance</v>
      </c>
      <c r="J93" s="4" t="str">
        <f>VLOOKUP($A93,'Institution Evaluation'!$A$56:$K$345,10,0)&amp;""</f>
        <v/>
      </c>
      <c r="K93" s="4">
        <f>IF($I93='Auto Responses'!$J$11,20,IF($I93='Auto Responses'!$J$13,5,10))</f>
        <v>5</v>
      </c>
      <c r="L93" s="107">
        <f>IF($E93='Auto Responses'!$L$13, 'Auto Responses'!$J$5,IF(AND($D93='Auto Responses'!$J$27,$H93=""),'Auto Responses'!$J$5,IF(AND($D93='Auto Responses'!$J$27,$H93='Auto Responses'!$J$7),1,IF(AND($D93='Auto Responses'!$J$27,$H93='Auto Responses'!$J$8),0,IF(OR(AND($F93=$G93,$H93=""),$H93='Auto Responses'!$J$7),1,0)))))</f>
        <v>0</v>
      </c>
      <c r="M93" s="4" t="str">
        <f>VLOOKUP($A93,'Institution Evaluation'!$A$56:$K$345,11,0)&amp;""</f>
        <v>FALSE</v>
      </c>
      <c r="N93" s="4">
        <f>IF($J93='Auto Responses'!$J$11,1,IF(AND($J93="",$I93='Auto Responses'!$J$11),1,0))</f>
        <v>0</v>
      </c>
      <c r="O93" s="107">
        <f>IF(OR($F$17='Auto Responses'!$J$4,$E93='Auto Responses'!$L$13,$F93='Auto Responses'!$J$5),'Auto Responses'!$J$5,IF($J93="",$K93,IF($J93='Auto Responses'!$J$13,5,IF($J93='Auto Responses'!$J$12,10,IF($J93='Auto Responses'!$J$11,20,0)))))</f>
        <v>5</v>
      </c>
      <c r="P93" s="107">
        <f>IF(OR($O93='Auto Responses'!$J$5,$L93='Auto Responses'!$J$5),'Auto Responses'!$J$5,$O93*$L93)</f>
        <v>0</v>
      </c>
      <c r="Q93" s="107">
        <f t="shared" si="7"/>
        <v>0</v>
      </c>
      <c r="R93" s="107">
        <f t="shared" si="12"/>
        <v>0</v>
      </c>
      <c r="S93" s="107">
        <f t="shared" si="8"/>
        <v>0</v>
      </c>
      <c r="T93" s="107">
        <f t="shared" si="9"/>
        <v>0</v>
      </c>
      <c r="U93" s="107">
        <f t="shared" si="13"/>
        <v>31</v>
      </c>
      <c r="V93" s="107">
        <f t="shared" si="10"/>
        <v>0</v>
      </c>
    </row>
    <row r="94" spans="1:22" ht="55.2" x14ac:dyDescent="0.3">
      <c r="A94" s="4" t="str">
        <f>Questions!$A94</f>
        <v>AAAI-17</v>
      </c>
      <c r="B94" s="4" t="str">
        <f t="shared" si="11"/>
        <v>AAAI</v>
      </c>
      <c r="C94" s="4" t="str">
        <f>VLOOKUP($A94,Questions!$A$3:$L$333,2,0)&amp;""</f>
        <v>For customers not using SSO, does your application and/or user frontend/portal support multifactor authentication (e.g., Duo, Google Authenticator, OTP, etc.)?</v>
      </c>
      <c r="D94" s="4" t="str">
        <f>VLOOKUP($A94,Questions!$A$3:$L$333,11,0)&amp;""</f>
        <v/>
      </c>
      <c r="E94" s="4" t="str">
        <f>VLOOKUP($A94,Questions!$A$3:$L$333,12,0)&amp;""</f>
        <v>Product</v>
      </c>
      <c r="F94" s="4" t="str">
        <f>VLOOKUP($A94,'Institution Evaluation'!$A$56:$K$345,3,0)&amp;""</f>
        <v>N/A</v>
      </c>
      <c r="G94" s="4" t="str">
        <f>VLOOKUP($A94,'Institution Evaluation'!$A$56:$K$345,7,0)&amp;""</f>
        <v>Yes</v>
      </c>
      <c r="H94" s="4" t="str">
        <f>VLOOKUP($A94,'Institution Evaluation'!$A$56:$K$345,8,0)&amp;""</f>
        <v/>
      </c>
      <c r="I94" s="4" t="str">
        <f>VLOOKUP($A94,'Institution Evaluation'!$A$56:$K$345,9,0)&amp;""</f>
        <v>Minor Importance</v>
      </c>
      <c r="J94" s="4" t="str">
        <f>VLOOKUP($A94,'Institution Evaluation'!$A$56:$K$345,10,0)&amp;""</f>
        <v/>
      </c>
      <c r="K94" s="4">
        <f>IF($I94='Auto Responses'!$J$11,20,IF($I94='Auto Responses'!$J$13,5,10))</f>
        <v>5</v>
      </c>
      <c r="L94" s="107">
        <f>IF($E94='Auto Responses'!$L$13, 'Auto Responses'!$J$5,IF(AND($D94='Auto Responses'!$J$27,$H94=""),'Auto Responses'!$J$5,IF(AND($D94='Auto Responses'!$J$27,$H94='Auto Responses'!$J$7),1,IF(AND($D94='Auto Responses'!$J$27,$H94='Auto Responses'!$J$8),0,IF(OR(AND($F94=$G94,$H94=""),$H94='Auto Responses'!$J$7),1,0)))))</f>
        <v>0</v>
      </c>
      <c r="M94" s="4" t="str">
        <f>VLOOKUP($A94,'Institution Evaluation'!$A$56:$K$345,11,0)&amp;""</f>
        <v>FALSE</v>
      </c>
      <c r="N94" s="4">
        <f>IF($J94='Auto Responses'!$J$11,1,IF(AND($J94="",$I94='Auto Responses'!$J$11),1,0))</f>
        <v>0</v>
      </c>
      <c r="O94" s="107" t="str">
        <f>IF(OR($F$17='Auto Responses'!$J$4,$E94='Auto Responses'!$L$13,$F94='Auto Responses'!$J$5),'Auto Responses'!$J$5,IF($J94="",$K94,IF($J94='Auto Responses'!$J$13,5,IF($J94='Auto Responses'!$J$12,10,IF($J94='Auto Responses'!$J$11,20,0)))))</f>
        <v>N/A</v>
      </c>
      <c r="P94" s="107" t="str">
        <f>IF(OR($O94='Auto Responses'!$J$5,$L94='Auto Responses'!$J$5),'Auto Responses'!$J$5,$O94*$L94)</f>
        <v>N/A</v>
      </c>
      <c r="Q94" s="107">
        <f t="shared" si="7"/>
        <v>0</v>
      </c>
      <c r="R94" s="107">
        <f t="shared" si="12"/>
        <v>0</v>
      </c>
      <c r="S94" s="107">
        <f t="shared" si="8"/>
        <v>0</v>
      </c>
      <c r="T94" s="107">
        <f t="shared" si="9"/>
        <v>0</v>
      </c>
      <c r="U94" s="107">
        <f t="shared" si="13"/>
        <v>31</v>
      </c>
      <c r="V94" s="107">
        <f t="shared" si="10"/>
        <v>0</v>
      </c>
    </row>
    <row r="95" spans="1:22" ht="55.2" x14ac:dyDescent="0.3">
      <c r="A95" s="4" t="str">
        <f>Questions!$A95</f>
        <v>AAAI-18</v>
      </c>
      <c r="B95" s="4" t="str">
        <f t="shared" si="11"/>
        <v>AAAI</v>
      </c>
      <c r="C95" s="4" t="str">
        <f>VLOOKUP($A95,Questions!$A$3:$L$333,2,0)&amp;""</f>
        <v>Does your application automatically lock the session or log out an account after a period of inactivity?</v>
      </c>
      <c r="D95" s="4" t="str">
        <f>VLOOKUP($A95,Questions!$A$3:$L$333,11,0)&amp;""</f>
        <v/>
      </c>
      <c r="E95" s="4" t="str">
        <f>VLOOKUP($A95,Questions!$A$3:$L$333,12,0)&amp;""</f>
        <v>Product</v>
      </c>
      <c r="F95" s="4" t="str">
        <f>VLOOKUP($A95,'Institution Evaluation'!$A$56:$K$345,3,0)&amp;""</f>
        <v>Yes</v>
      </c>
      <c r="G95" s="4" t="str">
        <f>VLOOKUP($A95,'Institution Evaluation'!$A$56:$K$345,7,0)&amp;""</f>
        <v>Yes</v>
      </c>
      <c r="H95" s="4" t="str">
        <f>VLOOKUP($A95,'Institution Evaluation'!$A$56:$K$345,8,0)&amp;""</f>
        <v/>
      </c>
      <c r="I95" s="4" t="str">
        <f>VLOOKUP($A95,'Institution Evaluation'!$A$56:$K$345,9,0)&amp;""</f>
        <v>Minor Importance</v>
      </c>
      <c r="J95" s="4" t="str">
        <f>VLOOKUP($A95,'Institution Evaluation'!$A$56:$K$345,10,0)&amp;""</f>
        <v/>
      </c>
      <c r="K95" s="4">
        <f>IF($I95='Auto Responses'!$J$11,20,IF($I95='Auto Responses'!$J$13,5,10))</f>
        <v>5</v>
      </c>
      <c r="L95" s="107">
        <f>IF($E95='Auto Responses'!$L$13, 'Auto Responses'!$J$5,IF(AND($D95='Auto Responses'!$J$27,$H95=""),'Auto Responses'!$J$5,IF(AND($D95='Auto Responses'!$J$27,$H95='Auto Responses'!$J$7),1,IF(AND($D95='Auto Responses'!$J$27,$H95='Auto Responses'!$J$8),0,IF(OR(AND($F95=$G95,$H95=""),$H95='Auto Responses'!$J$7),1,0)))))</f>
        <v>1</v>
      </c>
      <c r="M95" s="4" t="str">
        <f>VLOOKUP($A95,'Institution Evaluation'!$A$56:$K$345,11,0)&amp;""</f>
        <v>FALSE</v>
      </c>
      <c r="N95" s="4">
        <f>IF($J95='Auto Responses'!$J$11,1,IF(AND($J95="",$I95='Auto Responses'!$J$11),1,0))</f>
        <v>0</v>
      </c>
      <c r="O95" s="107">
        <f>IF(OR($F$17='Auto Responses'!$J$4,$E95='Auto Responses'!$L$13,$F95='Auto Responses'!$J$5),'Auto Responses'!$J$5,IF($J95="",$K95,IF($J95='Auto Responses'!$J$13,5,IF($J95='Auto Responses'!$J$12,10,IF($J95='Auto Responses'!$J$11,20,0)))))</f>
        <v>5</v>
      </c>
      <c r="P95" s="107">
        <f>IF(OR($O95='Auto Responses'!$J$5,$L95='Auto Responses'!$J$5),'Auto Responses'!$J$5,$O95*$L95)</f>
        <v>5</v>
      </c>
      <c r="Q95" s="107">
        <f t="shared" si="7"/>
        <v>0</v>
      </c>
      <c r="R95" s="107">
        <f t="shared" si="12"/>
        <v>0</v>
      </c>
      <c r="S95" s="107">
        <f t="shared" si="8"/>
        <v>0</v>
      </c>
      <c r="T95" s="107">
        <f t="shared" si="9"/>
        <v>0</v>
      </c>
      <c r="U95" s="107">
        <f t="shared" si="13"/>
        <v>31</v>
      </c>
      <c r="V95" s="107">
        <f t="shared" si="10"/>
        <v>0</v>
      </c>
    </row>
    <row r="96" spans="1:22" ht="55.2" x14ac:dyDescent="0.3">
      <c r="A96" s="4" t="str">
        <f>Questions!$A96</f>
        <v>CHNG-01</v>
      </c>
      <c r="B96" s="4" t="str">
        <f t="shared" si="11"/>
        <v>CHNG</v>
      </c>
      <c r="C96" s="4" t="str">
        <f>VLOOKUP($A96,Questions!$A$3:$L$333,2,0)&amp;""</f>
        <v>Will the institution be notified of major changes to your environment that could impact the institution's security posture?*</v>
      </c>
      <c r="D96" s="4" t="str">
        <f>VLOOKUP($A96,Questions!$A$3:$L$333,11,0)&amp;""</f>
        <v/>
      </c>
      <c r="E96" s="4" t="str">
        <f>VLOOKUP($A96,Questions!$A$3:$L$333,12,0)&amp;""</f>
        <v>Organization</v>
      </c>
      <c r="F96" s="4" t="str">
        <f>VLOOKUP($A96,'Institution Evaluation'!$A$56:$K$345,3,0)&amp;""</f>
        <v>Yes</v>
      </c>
      <c r="G96" s="4" t="str">
        <f>VLOOKUP($A96,'Institution Evaluation'!$A$56:$K$345,7,0)&amp;""</f>
        <v>Yes</v>
      </c>
      <c r="H96" s="4" t="str">
        <f>VLOOKUP($A96,'Institution Evaluation'!$A$56:$K$345,8,0)&amp;""</f>
        <v/>
      </c>
      <c r="I96" s="4" t="str">
        <f>VLOOKUP($A96,'Institution Evaluation'!$A$56:$K$345,9,0)&amp;""</f>
        <v>Critical Importance</v>
      </c>
      <c r="J96" s="4" t="str">
        <f>VLOOKUP($A96,'Institution Evaluation'!$A$56:$K$345,10,0)&amp;""</f>
        <v/>
      </c>
      <c r="K96" s="4">
        <f>IF($I96='Auto Responses'!$J$11,20,IF($I96='Auto Responses'!$J$13,5,10))</f>
        <v>20</v>
      </c>
      <c r="L96" s="107">
        <f>IF($E96='Auto Responses'!$L$13, 'Auto Responses'!$J$5,IF(AND($D96='Auto Responses'!$J$27,$H96=""),'Auto Responses'!$J$5,IF(AND($D96='Auto Responses'!$J$27,$H96='Auto Responses'!$J$7),1,IF(AND($D96='Auto Responses'!$J$27,$H96='Auto Responses'!$J$8),0,IF(OR(AND($F96=$G96,$H96=""),$H96='Auto Responses'!$J$7),1,0)))))</f>
        <v>1</v>
      </c>
      <c r="M96" s="4" t="str">
        <f>VLOOKUP($A96,'Institution Evaluation'!$A$56:$K$345,11,0)&amp;""</f>
        <v>FALSE</v>
      </c>
      <c r="N96" s="4">
        <f>IF($J96='Auto Responses'!$J$11,1,IF(AND($J96="",$I96='Auto Responses'!$J$11),1,0))</f>
        <v>1</v>
      </c>
      <c r="O96" s="107">
        <f>IF(OR($E96='Auto Responses'!$L$13,$F96='Auto Responses'!$J$5),'Auto Responses'!$J$5,IF($J96="",$K96,IF($J96='Auto Responses'!$J$13,5,IF($J96='Auto Responses'!$J$12,10,IF($J96='Auto Responses'!$J$11,20,0)))))</f>
        <v>20</v>
      </c>
      <c r="P96" s="107">
        <f>IF(OR($O96='Auto Responses'!$J$5,$L96='Auto Responses'!$J$5),'Auto Responses'!$J$5,$O96*$L96)</f>
        <v>20</v>
      </c>
      <c r="Q96" s="107">
        <f t="shared" si="7"/>
        <v>0</v>
      </c>
      <c r="R96" s="107">
        <f t="shared" si="12"/>
        <v>0</v>
      </c>
      <c r="S96" s="107">
        <f t="shared" si="8"/>
        <v>0</v>
      </c>
      <c r="T96" s="107">
        <f t="shared" si="9"/>
        <v>1</v>
      </c>
      <c r="U96" s="107">
        <f t="shared" si="13"/>
        <v>32</v>
      </c>
      <c r="V96" s="107">
        <f t="shared" si="10"/>
        <v>32</v>
      </c>
    </row>
    <row r="97" spans="1:22" ht="55.2" x14ac:dyDescent="0.3">
      <c r="A97" s="4" t="str">
        <f>Questions!$A97</f>
        <v>CHNG-02</v>
      </c>
      <c r="B97" s="4" t="str">
        <f t="shared" si="11"/>
        <v>CHNG</v>
      </c>
      <c r="C97" s="4" t="str">
        <f>VLOOKUP($A97,Questions!$A$3:$L$333,2,0)&amp;""</f>
        <v>Does the system support client customizations from one release to another?*</v>
      </c>
      <c r="D97" s="4" t="str">
        <f>VLOOKUP($A97,Questions!$A$3:$L$333,11,0)&amp;""</f>
        <v/>
      </c>
      <c r="E97" s="4" t="str">
        <f>VLOOKUP($A97,Questions!$A$3:$L$333,12,0)&amp;""</f>
        <v>Organization</v>
      </c>
      <c r="F97" s="4" t="str">
        <f>VLOOKUP($A97,'Institution Evaluation'!$A$56:$K$345,3,0)&amp;""</f>
        <v>Yes</v>
      </c>
      <c r="G97" s="4" t="str">
        <f>VLOOKUP($A97,'Institution Evaluation'!$A$56:$K$345,7,0)&amp;""</f>
        <v>Yes</v>
      </c>
      <c r="H97" s="4" t="str">
        <f>VLOOKUP($A97,'Institution Evaluation'!$A$56:$K$345,8,0)&amp;""</f>
        <v/>
      </c>
      <c r="I97" s="4" t="str">
        <f>VLOOKUP($A97,'Institution Evaluation'!$A$56:$K$345,9,0)&amp;""</f>
        <v>Critical Importance</v>
      </c>
      <c r="J97" s="4" t="str">
        <f>VLOOKUP($A97,'Institution Evaluation'!$A$56:$K$345,10,0)&amp;""</f>
        <v/>
      </c>
      <c r="K97" s="4">
        <f>IF($I97='Auto Responses'!$J$11,20,IF($I97='Auto Responses'!$J$13,5,10))</f>
        <v>20</v>
      </c>
      <c r="L97" s="107">
        <f>IF($E97='Auto Responses'!$L$13, 'Auto Responses'!$J$5,IF(AND($D97='Auto Responses'!$J$27,$H97=""),'Auto Responses'!$J$5,IF(AND($D97='Auto Responses'!$J$27,$H97='Auto Responses'!$J$7),1,IF(AND($D97='Auto Responses'!$J$27,$H97='Auto Responses'!$J$8),0,IF(OR(AND($F97=$G97,$H97=""),$H97='Auto Responses'!$J$7),1,0)))))</f>
        <v>1</v>
      </c>
      <c r="M97" s="4" t="str">
        <f>VLOOKUP($A97,'Institution Evaluation'!$A$56:$K$345,11,0)&amp;""</f>
        <v>FALSE</v>
      </c>
      <c r="N97" s="4">
        <f>IF($J97='Auto Responses'!$J$11,1,IF(AND($J97="",$I97='Auto Responses'!$J$11),1,0))</f>
        <v>1</v>
      </c>
      <c r="O97" s="107">
        <f>IF(OR($E97='Auto Responses'!$L$13,$F97='Auto Responses'!$J$5),'Auto Responses'!$J$5,IF($J97="",$K97,IF($J97='Auto Responses'!$J$13,5,IF($J97='Auto Responses'!$J$12,10,IF($J97='Auto Responses'!$J$11,20,0)))))</f>
        <v>20</v>
      </c>
      <c r="P97" s="107">
        <f>IF(OR($O97='Auto Responses'!$J$5,$L97='Auto Responses'!$J$5),'Auto Responses'!$J$5,$O97*$L97)</f>
        <v>20</v>
      </c>
      <c r="Q97" s="107">
        <f t="shared" si="7"/>
        <v>0</v>
      </c>
      <c r="R97" s="107">
        <f t="shared" si="12"/>
        <v>0</v>
      </c>
      <c r="S97" s="107">
        <f t="shared" si="8"/>
        <v>0</v>
      </c>
      <c r="T97" s="107">
        <f t="shared" si="9"/>
        <v>1</v>
      </c>
      <c r="U97" s="107">
        <f t="shared" si="13"/>
        <v>33</v>
      </c>
      <c r="V97" s="107">
        <f t="shared" si="10"/>
        <v>33</v>
      </c>
    </row>
    <row r="98" spans="1:22" ht="55.2" x14ac:dyDescent="0.3">
      <c r="A98" s="4" t="str">
        <f>Questions!$A98</f>
        <v>CHNG-03</v>
      </c>
      <c r="B98" s="4" t="str">
        <f t="shared" si="11"/>
        <v>CHNG</v>
      </c>
      <c r="C98" s="4" t="str">
        <f>VLOOKUP($A98,Questions!$A$3:$L$333,2,0)&amp;""</f>
        <v>Do you have an implemented system configuration management process (e.g., secure "gold" images, etc.)?*</v>
      </c>
      <c r="D98" s="4" t="str">
        <f>VLOOKUP($A98,Questions!$A$3:$L$333,11,0)&amp;""</f>
        <v/>
      </c>
      <c r="E98" s="4" t="str">
        <f>VLOOKUP($A98,Questions!$A$3:$L$333,12,0)&amp;""</f>
        <v>Organization</v>
      </c>
      <c r="F98" s="4" t="str">
        <f>VLOOKUP($A98,'Institution Evaluation'!$A$56:$K$345,3,0)&amp;""</f>
        <v>Yes</v>
      </c>
      <c r="G98" s="4" t="str">
        <f>VLOOKUP($A98,'Institution Evaluation'!$A$56:$K$345,7,0)&amp;""</f>
        <v>Yes</v>
      </c>
      <c r="H98" s="4" t="str">
        <f>VLOOKUP($A98,'Institution Evaluation'!$A$56:$K$345,8,0)&amp;""</f>
        <v/>
      </c>
      <c r="I98" s="4" t="str">
        <f>VLOOKUP($A98,'Institution Evaluation'!$A$56:$K$345,9,0)&amp;""</f>
        <v>Critical Importance</v>
      </c>
      <c r="J98" s="4" t="str">
        <f>VLOOKUP($A98,'Institution Evaluation'!$A$56:$K$345,10,0)&amp;""</f>
        <v/>
      </c>
      <c r="K98" s="4">
        <f>IF($I98='Auto Responses'!$J$11,20,IF($I98='Auto Responses'!$J$13,5,10))</f>
        <v>20</v>
      </c>
      <c r="L98" s="107">
        <f>IF($E98='Auto Responses'!$L$13, 'Auto Responses'!$J$5,IF(AND($D98='Auto Responses'!$J$27,$H98=""),'Auto Responses'!$J$5,IF(AND($D98='Auto Responses'!$J$27,$H98='Auto Responses'!$J$7),1,IF(AND($D98='Auto Responses'!$J$27,$H98='Auto Responses'!$J$8),0,IF(OR(AND($F98=$G98,$H98=""),$H98='Auto Responses'!$J$7),1,0)))))</f>
        <v>1</v>
      </c>
      <c r="M98" s="4" t="str">
        <f>VLOOKUP($A98,'Institution Evaluation'!$A$56:$K$345,11,0)&amp;""</f>
        <v>FALSE</v>
      </c>
      <c r="N98" s="4">
        <f>IF($J98='Auto Responses'!$J$11,1,IF(AND($J98="",$I98='Auto Responses'!$J$11),1,0))</f>
        <v>1</v>
      </c>
      <c r="O98" s="107">
        <f>IF(OR($E98='Auto Responses'!$L$13,$F98='Auto Responses'!$J$5),'Auto Responses'!$J$5,IF($J98="",$K98,IF($J98='Auto Responses'!$J$13,5,IF($J98='Auto Responses'!$J$12,10,IF($J98='Auto Responses'!$J$11,20,0)))))</f>
        <v>20</v>
      </c>
      <c r="P98" s="107">
        <f>IF(OR($O98='Auto Responses'!$J$5,$L98='Auto Responses'!$J$5),'Auto Responses'!$J$5,$O98*$L98)</f>
        <v>20</v>
      </c>
      <c r="Q98" s="107">
        <f t="shared" si="7"/>
        <v>0</v>
      </c>
      <c r="R98" s="107">
        <f t="shared" si="12"/>
        <v>0</v>
      </c>
      <c r="S98" s="107">
        <f t="shared" si="8"/>
        <v>0</v>
      </c>
      <c r="T98" s="107">
        <f t="shared" si="9"/>
        <v>1</v>
      </c>
      <c r="U98" s="107">
        <f t="shared" si="13"/>
        <v>34</v>
      </c>
      <c r="V98" s="107">
        <f t="shared" si="10"/>
        <v>34</v>
      </c>
    </row>
    <row r="99" spans="1:22" ht="55.2" x14ac:dyDescent="0.3">
      <c r="A99" s="4" t="str">
        <f>Questions!$A99</f>
        <v>CHNG-04</v>
      </c>
      <c r="B99" s="4" t="str">
        <f t="shared" si="11"/>
        <v>CHNG</v>
      </c>
      <c r="C99" s="4" t="str">
        <f>VLOOKUP($A99,Questions!$A$3:$L$333,2,0)&amp;""</f>
        <v>Do you have a documented change management process?</v>
      </c>
      <c r="D99" s="4" t="str">
        <f>VLOOKUP($A99,Questions!$A$3:$L$333,11,0)&amp;""</f>
        <v/>
      </c>
      <c r="E99" s="4" t="str">
        <f>VLOOKUP($A99,Questions!$A$3:$L$333,12,0)&amp;""</f>
        <v>Organization</v>
      </c>
      <c r="F99" s="4" t="str">
        <f>VLOOKUP($A99,'Institution Evaluation'!$A$56:$K$345,3,0)&amp;""</f>
        <v>Yes</v>
      </c>
      <c r="G99" s="4" t="str">
        <f>VLOOKUP($A99,'Institution Evaluation'!$A$56:$K$345,7,0)&amp;""</f>
        <v>Yes</v>
      </c>
      <c r="H99" s="4" t="str">
        <f>VLOOKUP($A99,'Institution Evaluation'!$A$56:$K$345,8,0)&amp;""</f>
        <v/>
      </c>
      <c r="I99" s="4" t="str">
        <f>VLOOKUP($A99,'Institution Evaluation'!$A$56:$K$345,9,0)&amp;""</f>
        <v>Standard Importance</v>
      </c>
      <c r="J99" s="4" t="str">
        <f>VLOOKUP($A99,'Institution Evaluation'!$A$56:$K$345,10,0)&amp;""</f>
        <v/>
      </c>
      <c r="K99" s="4">
        <f>IF($I99='Auto Responses'!$J$11,20,IF($I99='Auto Responses'!$J$13,5,10))</f>
        <v>10</v>
      </c>
      <c r="L99" s="107">
        <f>IF($E99='Auto Responses'!$L$13, 'Auto Responses'!$J$5,IF(AND($D99='Auto Responses'!$J$27,$H99=""),'Auto Responses'!$J$5,IF(AND($D99='Auto Responses'!$J$27,$H99='Auto Responses'!$J$7),1,IF(AND($D99='Auto Responses'!$J$27,$H99='Auto Responses'!$J$8),0,IF(OR(AND($F99=$G99,$H99=""),$H99='Auto Responses'!$J$7),1,0)))))</f>
        <v>1</v>
      </c>
      <c r="M99" s="4" t="str">
        <f>VLOOKUP($A99,'Institution Evaluation'!$A$56:$K$345,11,0)&amp;""</f>
        <v>FALSE</v>
      </c>
      <c r="N99" s="4">
        <f>IF($J99='Auto Responses'!$J$11,1,IF(AND($J99="",$I99='Auto Responses'!$J$11),1,0))</f>
        <v>0</v>
      </c>
      <c r="O99" s="107">
        <f>IF(OR($E99='Auto Responses'!$L$13,$F99='Auto Responses'!$J$5),'Auto Responses'!$J$5,IF($J99="",$K99,IF($J99='Auto Responses'!$J$13,5,IF($J99='Auto Responses'!$J$12,10,IF($J99='Auto Responses'!$J$11,20,0)))))</f>
        <v>10</v>
      </c>
      <c r="P99" s="107">
        <f>IF(OR($O99='Auto Responses'!$J$5,$L99='Auto Responses'!$J$5),'Auto Responses'!$J$5,$O99*$L99)</f>
        <v>10</v>
      </c>
      <c r="Q99" s="107">
        <f t="shared" si="7"/>
        <v>0</v>
      </c>
      <c r="R99" s="107">
        <f t="shared" si="12"/>
        <v>0</v>
      </c>
      <c r="S99" s="107">
        <f t="shared" si="8"/>
        <v>0</v>
      </c>
      <c r="T99" s="107">
        <f t="shared" si="9"/>
        <v>0</v>
      </c>
      <c r="U99" s="107">
        <f t="shared" si="13"/>
        <v>34</v>
      </c>
      <c r="V99" s="107">
        <f t="shared" si="10"/>
        <v>0</v>
      </c>
    </row>
    <row r="100" spans="1:22" ht="55.2" x14ac:dyDescent="0.3">
      <c r="A100" s="4" t="str">
        <f>Questions!$A100</f>
        <v>CHNG-05</v>
      </c>
      <c r="B100" s="4" t="str">
        <f t="shared" si="11"/>
        <v>CHNG</v>
      </c>
      <c r="C100" s="4" t="str">
        <f>VLOOKUP($A100,Questions!$A$3:$L$333,2,0)&amp;""</f>
        <v>Does your change management process minimally include authorization, impact analysis, testing, and validation before moving changes to production?</v>
      </c>
      <c r="D100" s="4" t="str">
        <f>VLOOKUP($A100,Questions!$A$3:$L$333,11,0)&amp;""</f>
        <v/>
      </c>
      <c r="E100" s="4" t="str">
        <f>VLOOKUP($A100,Questions!$A$3:$L$333,12,0)&amp;""</f>
        <v>Organization</v>
      </c>
      <c r="F100" s="4" t="str">
        <f>VLOOKUP($A100,'Institution Evaluation'!$A$56:$K$345,3,0)&amp;""</f>
        <v>Yes</v>
      </c>
      <c r="G100" s="4" t="str">
        <f>VLOOKUP($A100,'Institution Evaluation'!$A$56:$K$345,7,0)&amp;""</f>
        <v>Yes</v>
      </c>
      <c r="H100" s="4" t="str">
        <f>VLOOKUP($A100,'Institution Evaluation'!$A$56:$K$345,8,0)&amp;""</f>
        <v/>
      </c>
      <c r="I100" s="4" t="str">
        <f>VLOOKUP($A100,'Institution Evaluation'!$A$56:$K$345,9,0)&amp;""</f>
        <v>Standard Importance</v>
      </c>
      <c r="J100" s="4" t="str">
        <f>VLOOKUP($A100,'Institution Evaluation'!$A$56:$K$345,10,0)&amp;""</f>
        <v/>
      </c>
      <c r="K100" s="4">
        <f>IF($I100='Auto Responses'!$J$11,20,IF($I100='Auto Responses'!$J$13,5,10))</f>
        <v>10</v>
      </c>
      <c r="L100" s="107">
        <f>IF($E100='Auto Responses'!$L$13, 'Auto Responses'!$J$5,IF(AND($D100='Auto Responses'!$J$27,$H100=""),'Auto Responses'!$J$5,IF(AND($D100='Auto Responses'!$J$27,$H100='Auto Responses'!$J$7),1,IF(AND($D100='Auto Responses'!$J$27,$H100='Auto Responses'!$J$8),0,IF(OR(AND($F100=$G100,$H100=""),$H100='Auto Responses'!$J$7),1,0)))))</f>
        <v>1</v>
      </c>
      <c r="M100" s="4" t="str">
        <f>VLOOKUP($A100,'Institution Evaluation'!$A$56:$K$345,11,0)&amp;""</f>
        <v>FALSE</v>
      </c>
      <c r="N100" s="4">
        <f>IF($J100='Auto Responses'!$J$11,1,IF(AND($J100="",$I100='Auto Responses'!$J$11),1,0))</f>
        <v>0</v>
      </c>
      <c r="O100" s="107">
        <f>IF(OR($E100='Auto Responses'!$L$13,$F100='Auto Responses'!$J$5),'Auto Responses'!$J$5,IF($J100="",$K100,IF($J100='Auto Responses'!$J$13,5,IF($J100='Auto Responses'!$J$12,10,IF($J100='Auto Responses'!$J$11,20,0)))))</f>
        <v>10</v>
      </c>
      <c r="P100" s="107">
        <f>IF(OR($O100='Auto Responses'!$J$5,$L100='Auto Responses'!$J$5),'Auto Responses'!$J$5,$O100*$L100)</f>
        <v>10</v>
      </c>
      <c r="Q100" s="107">
        <f t="shared" si="7"/>
        <v>0</v>
      </c>
      <c r="R100" s="107">
        <f t="shared" si="12"/>
        <v>0</v>
      </c>
      <c r="S100" s="107">
        <f t="shared" si="8"/>
        <v>0</v>
      </c>
      <c r="T100" s="107">
        <f t="shared" si="9"/>
        <v>0</v>
      </c>
      <c r="U100" s="107">
        <f t="shared" si="13"/>
        <v>34</v>
      </c>
      <c r="V100" s="107">
        <f t="shared" si="10"/>
        <v>0</v>
      </c>
    </row>
    <row r="101" spans="1:22" ht="55.2" x14ac:dyDescent="0.3">
      <c r="A101" s="4" t="str">
        <f>Questions!$A101</f>
        <v>CHNG-06</v>
      </c>
      <c r="B101" s="4" t="str">
        <f t="shared" si="11"/>
        <v>CHNG</v>
      </c>
      <c r="C101" s="4" t="str">
        <f>VLOOKUP($A101,Questions!$A$3:$L$333,2,0)&amp;""</f>
        <v>Does your change management process verify that all required third-party libraries and dependencies are still supported with each major change?</v>
      </c>
      <c r="D101" s="4" t="str">
        <f>VLOOKUP($A101,Questions!$A$3:$L$333,11,0)&amp;""</f>
        <v/>
      </c>
      <c r="E101" s="4" t="str">
        <f>VLOOKUP($A101,Questions!$A$3:$L$333,12,0)&amp;""</f>
        <v>Organization</v>
      </c>
      <c r="F101" s="4" t="str">
        <f>VLOOKUP($A101,'Institution Evaluation'!$A$56:$K$345,3,0)&amp;""</f>
        <v>Yes</v>
      </c>
      <c r="G101" s="4" t="str">
        <f>VLOOKUP($A101,'Institution Evaluation'!$A$56:$K$345,7,0)&amp;""</f>
        <v>Yes</v>
      </c>
      <c r="H101" s="4" t="str">
        <f>VLOOKUP($A101,'Institution Evaluation'!$A$56:$K$345,8,0)&amp;""</f>
        <v/>
      </c>
      <c r="I101" s="4" t="str">
        <f>VLOOKUP($A101,'Institution Evaluation'!$A$56:$K$345,9,0)&amp;""</f>
        <v>Standard Importance</v>
      </c>
      <c r="J101" s="4" t="str">
        <f>VLOOKUP($A101,'Institution Evaluation'!$A$56:$K$345,10,0)&amp;""</f>
        <v/>
      </c>
      <c r="K101" s="4">
        <f>IF($I101='Auto Responses'!$J$11,20,IF($I101='Auto Responses'!$J$13,5,10))</f>
        <v>10</v>
      </c>
      <c r="L101" s="107">
        <f>IF($E101='Auto Responses'!$L$13, 'Auto Responses'!$J$5,IF(AND($D101='Auto Responses'!$J$27,$H101=""),'Auto Responses'!$J$5,IF(AND($D101='Auto Responses'!$J$27,$H101='Auto Responses'!$J$7),1,IF(AND($D101='Auto Responses'!$J$27,$H101='Auto Responses'!$J$8),0,IF(OR(AND($F101=$G101,$H101=""),$H101='Auto Responses'!$J$7),1,0)))))</f>
        <v>1</v>
      </c>
      <c r="M101" s="4" t="str">
        <f>VLOOKUP($A101,'Institution Evaluation'!$A$56:$K$345,11,0)&amp;""</f>
        <v>FALSE</v>
      </c>
      <c r="N101" s="4">
        <f>IF($J101='Auto Responses'!$J$11,1,IF(AND($J101="",$I101='Auto Responses'!$J$11),1,0))</f>
        <v>0</v>
      </c>
      <c r="O101" s="107">
        <f>IF(OR($E101='Auto Responses'!$L$13,$F101='Auto Responses'!$J$5),'Auto Responses'!$J$5,IF($J101="",$K101,IF($J101='Auto Responses'!$J$13,5,IF($J101='Auto Responses'!$J$12,10,IF($J101='Auto Responses'!$J$11,20,0)))))</f>
        <v>10</v>
      </c>
      <c r="P101" s="107">
        <f>IF(OR($O101='Auto Responses'!$J$5,$L101='Auto Responses'!$J$5),'Auto Responses'!$J$5,$O101*$L101)</f>
        <v>10</v>
      </c>
      <c r="Q101" s="107">
        <f t="shared" si="7"/>
        <v>0</v>
      </c>
      <c r="R101" s="107">
        <f t="shared" si="12"/>
        <v>0</v>
      </c>
      <c r="S101" s="107">
        <f t="shared" si="8"/>
        <v>0</v>
      </c>
      <c r="T101" s="107">
        <f t="shared" si="9"/>
        <v>0</v>
      </c>
      <c r="U101" s="107">
        <f t="shared" si="13"/>
        <v>34</v>
      </c>
      <c r="V101" s="107">
        <f t="shared" si="10"/>
        <v>0</v>
      </c>
    </row>
    <row r="102" spans="1:22" ht="55.2" x14ac:dyDescent="0.3">
      <c r="A102" s="4" t="str">
        <f>Questions!$A102</f>
        <v>CHNG-07</v>
      </c>
      <c r="B102" s="4" t="str">
        <f t="shared" si="11"/>
        <v>CHNG</v>
      </c>
      <c r="C102" s="4" t="str">
        <f>VLOOKUP($A102,Questions!$A$3:$L$333,2,0)&amp;""</f>
        <v>Do you have policy and procedure, currently implemented, managing how critical patches are applied to all systems and applications?</v>
      </c>
      <c r="D102" s="4" t="str">
        <f>VLOOKUP($A102,Questions!$A$3:$L$333,11,0)&amp;""</f>
        <v/>
      </c>
      <c r="E102" s="4" t="str">
        <f>VLOOKUP($A102,Questions!$A$3:$L$333,12,0)&amp;""</f>
        <v>Organization</v>
      </c>
      <c r="F102" s="4" t="str">
        <f>VLOOKUP($A102,'Institution Evaluation'!$A$56:$K$345,3,0)&amp;""</f>
        <v>Yes</v>
      </c>
      <c r="G102" s="4" t="str">
        <f>VLOOKUP($A102,'Institution Evaluation'!$A$56:$K$345,7,0)&amp;""</f>
        <v>Yes</v>
      </c>
      <c r="H102" s="4" t="str">
        <f>VLOOKUP($A102,'Institution Evaluation'!$A$56:$K$345,8,0)&amp;""</f>
        <v/>
      </c>
      <c r="I102" s="4" t="str">
        <f>VLOOKUP($A102,'Institution Evaluation'!$A$56:$K$345,9,0)&amp;""</f>
        <v>Standard Importance</v>
      </c>
      <c r="J102" s="4" t="str">
        <f>VLOOKUP($A102,'Institution Evaluation'!$A$56:$K$345,10,0)&amp;""</f>
        <v/>
      </c>
      <c r="K102" s="4">
        <f>IF($I102='Auto Responses'!$J$11,20,IF($I102='Auto Responses'!$J$13,5,10))</f>
        <v>10</v>
      </c>
      <c r="L102" s="107">
        <f>IF($E102='Auto Responses'!$L$13, 'Auto Responses'!$J$5,IF(AND($D102='Auto Responses'!$J$27,$H102=""),'Auto Responses'!$J$5,IF(AND($D102='Auto Responses'!$J$27,$H102='Auto Responses'!$J$7),1,IF(AND($D102='Auto Responses'!$J$27,$H102='Auto Responses'!$J$8),0,IF(OR(AND($F102=$G102,$H102=""),$H102='Auto Responses'!$J$7),1,0)))))</f>
        <v>1</v>
      </c>
      <c r="M102" s="4" t="str">
        <f>VLOOKUP($A102,'Institution Evaluation'!$A$56:$K$345,11,0)&amp;""</f>
        <v>FALSE</v>
      </c>
      <c r="N102" s="4">
        <f>IF($J102='Auto Responses'!$J$11,1,IF(AND($J102="",$I102='Auto Responses'!$J$11),1,0))</f>
        <v>0</v>
      </c>
      <c r="O102" s="107">
        <f>IF(OR($E102='Auto Responses'!$L$13,$F102='Auto Responses'!$J$5),'Auto Responses'!$J$5,IF($J102="",$K102,IF($J102='Auto Responses'!$J$13,5,IF($J102='Auto Responses'!$J$12,10,IF($J102='Auto Responses'!$J$11,20,0)))))</f>
        <v>10</v>
      </c>
      <c r="P102" s="107">
        <f>IF(OR($O102='Auto Responses'!$J$5,$L102='Auto Responses'!$J$5),'Auto Responses'!$J$5,$O102*$L102)</f>
        <v>10</v>
      </c>
      <c r="Q102" s="107">
        <f t="shared" si="7"/>
        <v>0</v>
      </c>
      <c r="R102" s="107">
        <f t="shared" si="12"/>
        <v>0</v>
      </c>
      <c r="S102" s="107">
        <f t="shared" si="8"/>
        <v>0</v>
      </c>
      <c r="T102" s="107">
        <f t="shared" si="9"/>
        <v>0</v>
      </c>
      <c r="U102" s="107">
        <f t="shared" si="13"/>
        <v>34</v>
      </c>
      <c r="V102" s="107">
        <f t="shared" si="10"/>
        <v>0</v>
      </c>
    </row>
    <row r="103" spans="1:22" ht="55.2" x14ac:dyDescent="0.3">
      <c r="A103" s="4" t="str">
        <f>Questions!$A103</f>
        <v>CHNG-08</v>
      </c>
      <c r="B103" s="4" t="str">
        <f t="shared" si="11"/>
        <v>CHNG</v>
      </c>
      <c r="C103" s="4" t="str">
        <f>VLOOKUP($A103,Questions!$A$3:$L$333,2,0)&amp;""</f>
        <v>Have you implemented policies and procedures that guide how security risks are mitigated until patches can be applied?</v>
      </c>
      <c r="D103" s="4" t="str">
        <f>VLOOKUP($A103,Questions!$A$3:$L$333,11,0)&amp;""</f>
        <v/>
      </c>
      <c r="E103" s="4" t="str">
        <f>VLOOKUP($A103,Questions!$A$3:$L$333,12,0)&amp;""</f>
        <v>Organization</v>
      </c>
      <c r="F103" s="4" t="str">
        <f>VLOOKUP($A103,'Institution Evaluation'!$A$56:$K$345,3,0)&amp;""</f>
        <v>Yes</v>
      </c>
      <c r="G103" s="4" t="str">
        <f>VLOOKUP($A103,'Institution Evaluation'!$A$56:$K$345,7,0)&amp;""</f>
        <v>Yes</v>
      </c>
      <c r="H103" s="4" t="str">
        <f>VLOOKUP($A103,'Institution Evaluation'!$A$56:$K$345,8,0)&amp;""</f>
        <v/>
      </c>
      <c r="I103" s="4" t="str">
        <f>VLOOKUP($A103,'Institution Evaluation'!$A$56:$K$345,9,0)&amp;""</f>
        <v>Standard Importance</v>
      </c>
      <c r="J103" s="4" t="str">
        <f>VLOOKUP($A103,'Institution Evaluation'!$A$56:$K$345,10,0)&amp;""</f>
        <v/>
      </c>
      <c r="K103" s="4">
        <f>IF($I103='Auto Responses'!$J$11,20,IF($I103='Auto Responses'!$J$13,5,10))</f>
        <v>10</v>
      </c>
      <c r="L103" s="107">
        <f>IF($E103='Auto Responses'!$L$13, 'Auto Responses'!$J$5,IF(AND($D103='Auto Responses'!$J$27,$H103=""),'Auto Responses'!$J$5,IF(AND($D103='Auto Responses'!$J$27,$H103='Auto Responses'!$J$7),1,IF(AND($D103='Auto Responses'!$J$27,$H103='Auto Responses'!$J$8),0,IF(OR(AND($F103=$G103,$H103=""),$H103='Auto Responses'!$J$7),1,0)))))</f>
        <v>1</v>
      </c>
      <c r="M103" s="4" t="str">
        <f>VLOOKUP($A103,'Institution Evaluation'!$A$56:$K$345,11,0)&amp;""</f>
        <v>FALSE</v>
      </c>
      <c r="N103" s="4">
        <f>IF($J103='Auto Responses'!$J$11,1,IF(AND($J103="",$I103='Auto Responses'!$J$11),1,0))</f>
        <v>0</v>
      </c>
      <c r="O103" s="107">
        <f>IF(OR($E103='Auto Responses'!$L$13,$F103='Auto Responses'!$J$5),'Auto Responses'!$J$5,IF($J103="",$K103,IF($J103='Auto Responses'!$J$13,5,IF($J103='Auto Responses'!$J$12,10,IF($J103='Auto Responses'!$J$11,20,0)))))</f>
        <v>10</v>
      </c>
      <c r="P103" s="107">
        <f>IF(OR($O103='Auto Responses'!$J$5,$L103='Auto Responses'!$J$5),'Auto Responses'!$J$5,$O103*$L103)</f>
        <v>10</v>
      </c>
      <c r="Q103" s="107">
        <f t="shared" si="7"/>
        <v>0</v>
      </c>
      <c r="R103" s="107">
        <f t="shared" si="12"/>
        <v>0</v>
      </c>
      <c r="S103" s="107">
        <f t="shared" si="8"/>
        <v>0</v>
      </c>
      <c r="T103" s="107">
        <f t="shared" si="9"/>
        <v>0</v>
      </c>
      <c r="U103" s="107">
        <f t="shared" si="13"/>
        <v>34</v>
      </c>
      <c r="V103" s="107">
        <f t="shared" si="10"/>
        <v>0</v>
      </c>
    </row>
    <row r="104" spans="1:22" ht="55.2" x14ac:dyDescent="0.3">
      <c r="A104" s="4" t="str">
        <f>Questions!$A104</f>
        <v>CHNG-09</v>
      </c>
      <c r="B104" s="4" t="str">
        <f t="shared" si="11"/>
        <v>CHNG</v>
      </c>
      <c r="C104" s="4" t="str">
        <f>VLOOKUP($A104,Questions!$A$3:$L$333,2,0)&amp;""</f>
        <v>Do clients have the option to not participate in or postpone an upgrade to a new release?</v>
      </c>
      <c r="D104" s="4" t="str">
        <f>VLOOKUP($A104,Questions!$A$3:$L$333,11,0)&amp;""</f>
        <v/>
      </c>
      <c r="E104" s="4" t="str">
        <f>VLOOKUP($A104,Questions!$A$3:$L$333,12,0)&amp;""</f>
        <v>Organization</v>
      </c>
      <c r="F104" s="4" t="str">
        <f>VLOOKUP($A104,'Institution Evaluation'!$A$56:$K$345,3,0)&amp;""</f>
        <v>Yes</v>
      </c>
      <c r="G104" s="4" t="str">
        <f>VLOOKUP($A104,'Institution Evaluation'!$A$56:$K$345,7,0)&amp;""</f>
        <v>Yes</v>
      </c>
      <c r="H104" s="4" t="str">
        <f>VLOOKUP($A104,'Institution Evaluation'!$A$56:$K$345,8,0)&amp;""</f>
        <v/>
      </c>
      <c r="I104" s="4" t="str">
        <f>VLOOKUP($A104,'Institution Evaluation'!$A$56:$K$345,9,0)&amp;""</f>
        <v>Minor Importance</v>
      </c>
      <c r="J104" s="4" t="str">
        <f>VLOOKUP($A104,'Institution Evaluation'!$A$56:$K$345,10,0)&amp;""</f>
        <v/>
      </c>
      <c r="K104" s="4">
        <f>IF($I104='Auto Responses'!$J$11,20,IF($I104='Auto Responses'!$J$13,5,10))</f>
        <v>5</v>
      </c>
      <c r="L104" s="107">
        <f>IF($E104='Auto Responses'!$L$13, 'Auto Responses'!$J$5,IF(AND($D104='Auto Responses'!$J$27,$H104=""),'Auto Responses'!$J$5,IF(AND($D104='Auto Responses'!$J$27,$H104='Auto Responses'!$J$7),1,IF(AND($D104='Auto Responses'!$J$27,$H104='Auto Responses'!$J$8),0,IF(OR(AND($F104=$G104,$H104=""),$H104='Auto Responses'!$J$7),1,0)))))</f>
        <v>1</v>
      </c>
      <c r="M104" s="4" t="str">
        <f>VLOOKUP($A104,'Institution Evaluation'!$A$56:$K$345,11,0)&amp;""</f>
        <v>FALSE</v>
      </c>
      <c r="N104" s="4">
        <f>IF($J104='Auto Responses'!$J$11,1,IF(AND($J104="",$I104='Auto Responses'!$J$11),1,0))</f>
        <v>0</v>
      </c>
      <c r="O104" s="107">
        <f>IF(OR($E104='Auto Responses'!$L$13,$F104='Auto Responses'!$J$5),'Auto Responses'!$J$5,IF($J104="",$K104,IF($J104='Auto Responses'!$J$13,5,IF($J104='Auto Responses'!$J$12,10,IF($J104='Auto Responses'!$J$11,20,0)))))</f>
        <v>5</v>
      </c>
      <c r="P104" s="107">
        <f>IF(OR($O104='Auto Responses'!$J$5,$L104='Auto Responses'!$J$5),'Auto Responses'!$J$5,$O104*$L104)</f>
        <v>5</v>
      </c>
      <c r="Q104" s="107">
        <f t="shared" si="7"/>
        <v>0</v>
      </c>
      <c r="R104" s="107">
        <f t="shared" si="12"/>
        <v>0</v>
      </c>
      <c r="S104" s="107">
        <f t="shared" si="8"/>
        <v>0</v>
      </c>
      <c r="T104" s="107">
        <f t="shared" si="9"/>
        <v>0</v>
      </c>
      <c r="U104" s="107">
        <f t="shared" si="13"/>
        <v>34</v>
      </c>
      <c r="V104" s="107">
        <f t="shared" si="10"/>
        <v>0</v>
      </c>
    </row>
    <row r="105" spans="1:22" ht="55.2" x14ac:dyDescent="0.3">
      <c r="A105" s="4" t="str">
        <f>Questions!$A105</f>
        <v>CHNG-10</v>
      </c>
      <c r="B105" s="4" t="str">
        <f t="shared" si="11"/>
        <v>CHNG</v>
      </c>
      <c r="C105" s="4" t="str">
        <f>VLOOKUP($A105,Questions!$A$3:$L$333,2,0)&amp;""</f>
        <v>Do you have a fully implemented solution support strategy that defines how many concurrent versions you support?</v>
      </c>
      <c r="D105" s="4" t="str">
        <f>VLOOKUP($A105,Questions!$A$3:$L$333,11,0)&amp;""</f>
        <v/>
      </c>
      <c r="E105" s="4" t="str">
        <f>VLOOKUP($A105,Questions!$A$3:$L$333,12,0)&amp;""</f>
        <v>Organization</v>
      </c>
      <c r="F105" s="4" t="str">
        <f>VLOOKUP($A105,'Institution Evaluation'!$A$56:$K$345,3,0)&amp;""</f>
        <v>Yes</v>
      </c>
      <c r="G105" s="4" t="str">
        <f>VLOOKUP($A105,'Institution Evaluation'!$A$56:$K$345,7,0)&amp;""</f>
        <v>Yes</v>
      </c>
      <c r="H105" s="4" t="str">
        <f>VLOOKUP($A105,'Institution Evaluation'!$A$56:$K$345,8,0)&amp;""</f>
        <v/>
      </c>
      <c r="I105" s="4" t="str">
        <f>VLOOKUP($A105,'Institution Evaluation'!$A$56:$K$345,9,0)&amp;""</f>
        <v>Minor Importance</v>
      </c>
      <c r="J105" s="4" t="str">
        <f>VLOOKUP($A105,'Institution Evaluation'!$A$56:$K$345,10,0)&amp;""</f>
        <v/>
      </c>
      <c r="K105" s="4">
        <f>IF($I105='Auto Responses'!$J$11,20,IF($I105='Auto Responses'!$J$13,5,10))</f>
        <v>5</v>
      </c>
      <c r="L105" s="107">
        <f>IF($E105='Auto Responses'!$L$13, 'Auto Responses'!$J$5,IF(AND($D105='Auto Responses'!$J$27,$H105=""),'Auto Responses'!$J$5,IF(AND($D105='Auto Responses'!$J$27,$H105='Auto Responses'!$J$7),1,IF(AND($D105='Auto Responses'!$J$27,$H105='Auto Responses'!$J$8),0,IF(OR(AND($F105=$G105,$H105=""),$H105='Auto Responses'!$J$7),1,0)))))</f>
        <v>1</v>
      </c>
      <c r="M105" s="4" t="str">
        <f>VLOOKUP($A105,'Institution Evaluation'!$A$56:$K$345,11,0)&amp;""</f>
        <v>FALSE</v>
      </c>
      <c r="N105" s="4">
        <f>IF($J105='Auto Responses'!$J$11,1,IF(AND($J105="",$I105='Auto Responses'!$J$11),1,0))</f>
        <v>0</v>
      </c>
      <c r="O105" s="107">
        <f>IF(OR($E105='Auto Responses'!$L$13,$F105='Auto Responses'!$J$5),'Auto Responses'!$J$5,IF($J105="",$K105,IF($J105='Auto Responses'!$J$13,5,IF($J105='Auto Responses'!$J$12,10,IF($J105='Auto Responses'!$J$11,20,0)))))</f>
        <v>5</v>
      </c>
      <c r="P105" s="107">
        <f>IF(OR($O105='Auto Responses'!$J$5,$L105='Auto Responses'!$J$5),'Auto Responses'!$J$5,$O105*$L105)</f>
        <v>5</v>
      </c>
      <c r="Q105" s="107">
        <f t="shared" si="7"/>
        <v>0</v>
      </c>
      <c r="R105" s="107">
        <f t="shared" si="12"/>
        <v>0</v>
      </c>
      <c r="S105" s="107">
        <f t="shared" si="8"/>
        <v>0</v>
      </c>
      <c r="T105" s="107">
        <f t="shared" si="9"/>
        <v>0</v>
      </c>
      <c r="U105" s="107">
        <f t="shared" si="13"/>
        <v>34</v>
      </c>
      <c r="V105" s="107">
        <f t="shared" si="10"/>
        <v>0</v>
      </c>
    </row>
    <row r="106" spans="1:22" ht="55.2" x14ac:dyDescent="0.3">
      <c r="A106" s="4" t="str">
        <f>Questions!$A106</f>
        <v>CHNG-11</v>
      </c>
      <c r="B106" s="4" t="str">
        <f t="shared" si="11"/>
        <v>CHNG</v>
      </c>
      <c r="C106" s="4" t="str">
        <f>VLOOKUP($A106,Questions!$A$3:$L$333,2,0)&amp;""</f>
        <v>Do you have a release schedule for product updates?</v>
      </c>
      <c r="D106" s="4" t="str">
        <f>VLOOKUP($A106,Questions!$A$3:$L$333,11,0)&amp;""</f>
        <v/>
      </c>
      <c r="E106" s="4" t="str">
        <f>VLOOKUP($A106,Questions!$A$3:$L$333,12,0)&amp;""</f>
        <v>Organization</v>
      </c>
      <c r="F106" s="4" t="str">
        <f>VLOOKUP($A106,'Institution Evaluation'!$A$56:$K$345,3,0)&amp;""</f>
        <v>Yes</v>
      </c>
      <c r="G106" s="4" t="str">
        <f>VLOOKUP($A106,'Institution Evaluation'!$A$56:$K$345,7,0)&amp;""</f>
        <v>Yes</v>
      </c>
      <c r="H106" s="4" t="str">
        <f>VLOOKUP($A106,'Institution Evaluation'!$A$56:$K$345,8,0)&amp;""</f>
        <v/>
      </c>
      <c r="I106" s="4" t="str">
        <f>VLOOKUP($A106,'Institution Evaluation'!$A$56:$K$345,9,0)&amp;""</f>
        <v>Minor Importance</v>
      </c>
      <c r="J106" s="4" t="str">
        <f>VLOOKUP($A106,'Institution Evaluation'!$A$56:$K$345,10,0)&amp;""</f>
        <v/>
      </c>
      <c r="K106" s="4">
        <f>IF($I106='Auto Responses'!$J$11,20,IF($I106='Auto Responses'!$J$13,5,10))</f>
        <v>5</v>
      </c>
      <c r="L106" s="107">
        <f>IF($E106='Auto Responses'!$L$13, 'Auto Responses'!$J$5,IF(AND($D106='Auto Responses'!$J$27,$H106=""),'Auto Responses'!$J$5,IF(AND($D106='Auto Responses'!$J$27,$H106='Auto Responses'!$J$7),1,IF(AND($D106='Auto Responses'!$J$27,$H106='Auto Responses'!$J$8),0,IF(OR(AND($F106=$G106,$H106=""),$H106='Auto Responses'!$J$7),1,0)))))</f>
        <v>1</v>
      </c>
      <c r="M106" s="4" t="str">
        <f>VLOOKUP($A106,'Institution Evaluation'!$A$56:$K$345,11,0)&amp;""</f>
        <v>FALSE</v>
      </c>
      <c r="N106" s="4">
        <f>IF($J106='Auto Responses'!$J$11,1,IF(AND($J106="",$I106='Auto Responses'!$J$11),1,0))</f>
        <v>0</v>
      </c>
      <c r="O106" s="107">
        <f>IF(OR($E106='Auto Responses'!$L$13,$F106='Auto Responses'!$J$5),'Auto Responses'!$J$5,IF($J106="",$K106,IF($J106='Auto Responses'!$J$13,5,IF($J106='Auto Responses'!$J$12,10,IF($J106='Auto Responses'!$J$11,20,0)))))</f>
        <v>5</v>
      </c>
      <c r="P106" s="107">
        <f>IF(OR($O106='Auto Responses'!$J$5,$L106='Auto Responses'!$J$5),'Auto Responses'!$J$5,$O106*$L106)</f>
        <v>5</v>
      </c>
      <c r="Q106" s="107">
        <f t="shared" si="7"/>
        <v>0</v>
      </c>
      <c r="R106" s="107">
        <f t="shared" si="12"/>
        <v>0</v>
      </c>
      <c r="S106" s="107">
        <f t="shared" si="8"/>
        <v>0</v>
      </c>
      <c r="T106" s="107">
        <f t="shared" si="9"/>
        <v>0</v>
      </c>
      <c r="U106" s="107">
        <f t="shared" si="13"/>
        <v>34</v>
      </c>
      <c r="V106" s="107">
        <f t="shared" si="10"/>
        <v>0</v>
      </c>
    </row>
    <row r="107" spans="1:22" ht="55.2" x14ac:dyDescent="0.3">
      <c r="A107" s="4" t="str">
        <f>Questions!$A107</f>
        <v>CHNG-12</v>
      </c>
      <c r="B107" s="4" t="str">
        <f t="shared" si="11"/>
        <v>CHNG</v>
      </c>
      <c r="C107" s="4" t="str">
        <f>VLOOKUP($A107,Questions!$A$3:$L$333,2,0)&amp;""</f>
        <v>Do you have a technology roadmap, for at least the next two years, for enhancements and bug fixes for the solution being assessed?</v>
      </c>
      <c r="D107" s="4" t="str">
        <f>VLOOKUP($A107,Questions!$A$3:$L$333,11,0)&amp;""</f>
        <v/>
      </c>
      <c r="E107" s="4" t="str">
        <f>VLOOKUP($A107,Questions!$A$3:$L$333,12,0)&amp;""</f>
        <v>Organization</v>
      </c>
      <c r="F107" s="4" t="str">
        <f>VLOOKUP($A107,'Institution Evaluation'!$A$56:$K$345,3,0)&amp;""</f>
        <v>Yes</v>
      </c>
      <c r="G107" s="4" t="str">
        <f>VLOOKUP($A107,'Institution Evaluation'!$A$56:$K$345,7,0)&amp;""</f>
        <v>Yes</v>
      </c>
      <c r="H107" s="4" t="str">
        <f>VLOOKUP($A107,'Institution Evaluation'!$A$56:$K$345,8,0)&amp;""</f>
        <v/>
      </c>
      <c r="I107" s="4" t="str">
        <f>VLOOKUP($A107,'Institution Evaluation'!$A$56:$K$345,9,0)&amp;""</f>
        <v>Minor Importance</v>
      </c>
      <c r="J107" s="4" t="str">
        <f>VLOOKUP($A107,'Institution Evaluation'!$A$56:$K$345,10,0)&amp;""</f>
        <v/>
      </c>
      <c r="K107" s="4">
        <f>IF($I107='Auto Responses'!$J$11,20,IF($I107='Auto Responses'!$J$13,5,10))</f>
        <v>5</v>
      </c>
      <c r="L107" s="107">
        <f>IF($E107='Auto Responses'!$L$13, 'Auto Responses'!$J$5,IF(AND($D107='Auto Responses'!$J$27,$H107=""),'Auto Responses'!$J$5,IF(AND($D107='Auto Responses'!$J$27,$H107='Auto Responses'!$J$7),1,IF(AND($D107='Auto Responses'!$J$27,$H107='Auto Responses'!$J$8),0,IF(OR(AND($F107=$G107,$H107=""),$H107='Auto Responses'!$J$7),1,0)))))</f>
        <v>1</v>
      </c>
      <c r="M107" s="4" t="str">
        <f>VLOOKUP($A107,'Institution Evaluation'!$A$56:$K$345,11,0)&amp;""</f>
        <v>FALSE</v>
      </c>
      <c r="N107" s="4">
        <f>IF($J107='Auto Responses'!$J$11,1,IF(AND($J107="",$I107='Auto Responses'!$J$11),1,0))</f>
        <v>0</v>
      </c>
      <c r="O107" s="107">
        <f>IF(OR($E107='Auto Responses'!$L$13,$F107='Auto Responses'!$J$5),'Auto Responses'!$J$5,IF($J107="",$K107,IF($J107='Auto Responses'!$J$13,5,IF($J107='Auto Responses'!$J$12,10,IF($J107='Auto Responses'!$J$11,20,0)))))</f>
        <v>5</v>
      </c>
      <c r="P107" s="107">
        <f>IF(OR($O107='Auto Responses'!$J$5,$L107='Auto Responses'!$J$5),'Auto Responses'!$J$5,$O107*$L107)</f>
        <v>5</v>
      </c>
      <c r="Q107" s="107">
        <f t="shared" si="7"/>
        <v>0</v>
      </c>
      <c r="R107" s="107">
        <f t="shared" si="12"/>
        <v>0</v>
      </c>
      <c r="S107" s="107">
        <f t="shared" si="8"/>
        <v>0</v>
      </c>
      <c r="T107" s="107">
        <f t="shared" si="9"/>
        <v>0</v>
      </c>
      <c r="U107" s="107">
        <f t="shared" si="13"/>
        <v>34</v>
      </c>
      <c r="V107" s="107">
        <f t="shared" si="10"/>
        <v>0</v>
      </c>
    </row>
    <row r="108" spans="1:22" ht="55.2" x14ac:dyDescent="0.3">
      <c r="A108" s="4" t="str">
        <f>Questions!$A108</f>
        <v>CHNG-13</v>
      </c>
      <c r="B108" s="4" t="str">
        <f t="shared" si="11"/>
        <v>CHNG</v>
      </c>
      <c r="C108" s="4" t="str">
        <f>VLOOKUP($A108,Questions!$A$3:$L$333,2,0)&amp;""</f>
        <v>Can solution updates be completed without institutional involvement (i.e., technically or organizationally)?</v>
      </c>
      <c r="D108" s="4" t="str">
        <f>VLOOKUP($A108,Questions!$A$3:$L$333,11,0)&amp;""</f>
        <v/>
      </c>
      <c r="E108" s="4" t="str">
        <f>VLOOKUP($A108,Questions!$A$3:$L$333,12,0)&amp;""</f>
        <v>Organization</v>
      </c>
      <c r="F108" s="4" t="str">
        <f>VLOOKUP($A108,'Institution Evaluation'!$A$56:$K$345,3,0)&amp;""</f>
        <v>Yes</v>
      </c>
      <c r="G108" s="4" t="str">
        <f>VLOOKUP($A108,'Institution Evaluation'!$A$56:$K$345,7,0)&amp;""</f>
        <v>Yes</v>
      </c>
      <c r="H108" s="4" t="str">
        <f>VLOOKUP($A108,'Institution Evaluation'!$A$56:$K$345,8,0)&amp;""</f>
        <v/>
      </c>
      <c r="I108" s="4" t="str">
        <f>VLOOKUP($A108,'Institution Evaluation'!$A$56:$K$345,9,0)&amp;""</f>
        <v>Minor Importance</v>
      </c>
      <c r="J108" s="4" t="str">
        <f>VLOOKUP($A108,'Institution Evaluation'!$A$56:$K$345,10,0)&amp;""</f>
        <v/>
      </c>
      <c r="K108" s="4">
        <f>IF($I108='Auto Responses'!$J$11,20,IF($I108='Auto Responses'!$J$13,5,10))</f>
        <v>5</v>
      </c>
      <c r="L108" s="107">
        <f>IF($E108='Auto Responses'!$L$13, 'Auto Responses'!$J$5,IF(AND($D108='Auto Responses'!$J$27,$H108=""),'Auto Responses'!$J$5,IF(AND($D108='Auto Responses'!$J$27,$H108='Auto Responses'!$J$7),1,IF(AND($D108='Auto Responses'!$J$27,$H108='Auto Responses'!$J$8),0,IF(OR(AND($F108=$G108,$H108=""),$H108='Auto Responses'!$J$7),1,0)))))</f>
        <v>1</v>
      </c>
      <c r="M108" s="4" t="str">
        <f>VLOOKUP($A108,'Institution Evaluation'!$A$56:$K$345,11,0)&amp;""</f>
        <v>FALSE</v>
      </c>
      <c r="N108" s="4">
        <f>IF($J108='Auto Responses'!$J$11,1,IF(AND($J108="",$I108='Auto Responses'!$J$11),1,0))</f>
        <v>0</v>
      </c>
      <c r="O108" s="107">
        <f>IF(OR($E108='Auto Responses'!$L$13,$F108='Auto Responses'!$J$5),'Auto Responses'!$J$5,IF($J108="",$K108,IF($J108='Auto Responses'!$J$13,5,IF($J108='Auto Responses'!$J$12,10,IF($J108='Auto Responses'!$J$11,20,0)))))</f>
        <v>5</v>
      </c>
      <c r="P108" s="107">
        <f>IF(OR($O108='Auto Responses'!$J$5,$L108='Auto Responses'!$J$5),'Auto Responses'!$J$5,$O108*$L108)</f>
        <v>5</v>
      </c>
      <c r="Q108" s="107">
        <f t="shared" si="7"/>
        <v>0</v>
      </c>
      <c r="R108" s="107">
        <f t="shared" si="12"/>
        <v>0</v>
      </c>
      <c r="S108" s="107">
        <f t="shared" si="8"/>
        <v>0</v>
      </c>
      <c r="T108" s="107">
        <f t="shared" si="9"/>
        <v>0</v>
      </c>
      <c r="U108" s="107">
        <f t="shared" si="13"/>
        <v>34</v>
      </c>
      <c r="V108" s="107">
        <f t="shared" si="10"/>
        <v>0</v>
      </c>
    </row>
    <row r="109" spans="1:22" ht="55.2" x14ac:dyDescent="0.3">
      <c r="A109" s="4" t="str">
        <f>Questions!$A109</f>
        <v>CHNG-14</v>
      </c>
      <c r="B109" s="4" t="str">
        <f t="shared" si="11"/>
        <v>CHNG</v>
      </c>
      <c r="C109" s="4" t="str">
        <f>VLOOKUP($A109,Questions!$A$3:$L$333,2,0)&amp;""</f>
        <v>Are upgrades or system changes installed during off-peak hours or in a manner that does not impact the customer?</v>
      </c>
      <c r="D109" s="4" t="str">
        <f>VLOOKUP($A109,Questions!$A$3:$L$333,11,0)&amp;""</f>
        <v/>
      </c>
      <c r="E109" s="4" t="str">
        <f>VLOOKUP($A109,Questions!$A$3:$L$333,12,0)&amp;""</f>
        <v>Organization</v>
      </c>
      <c r="F109" s="4" t="str">
        <f>VLOOKUP($A109,'Institution Evaluation'!$A$56:$K$345,3,0)&amp;""</f>
        <v>Yes</v>
      </c>
      <c r="G109" s="4" t="str">
        <f>VLOOKUP($A109,'Institution Evaluation'!$A$56:$K$345,7,0)&amp;""</f>
        <v>Yes</v>
      </c>
      <c r="H109" s="4" t="str">
        <f>VLOOKUP($A109,'Institution Evaluation'!$A$56:$K$345,8,0)&amp;""</f>
        <v/>
      </c>
      <c r="I109" s="4" t="str">
        <f>VLOOKUP($A109,'Institution Evaluation'!$A$56:$K$345,9,0)&amp;""</f>
        <v>Minor Importance</v>
      </c>
      <c r="J109" s="4" t="str">
        <f>VLOOKUP($A109,'Institution Evaluation'!$A$56:$K$345,10,0)&amp;""</f>
        <v/>
      </c>
      <c r="K109" s="4">
        <f>IF($I109='Auto Responses'!$J$11,20,IF($I109='Auto Responses'!$J$13,5,10))</f>
        <v>5</v>
      </c>
      <c r="L109" s="107">
        <f>IF($E109='Auto Responses'!$L$13, 'Auto Responses'!$J$5,IF(AND($D109='Auto Responses'!$J$27,$H109=""),'Auto Responses'!$J$5,IF(AND($D109='Auto Responses'!$J$27,$H109='Auto Responses'!$J$7),1,IF(AND($D109='Auto Responses'!$J$27,$H109='Auto Responses'!$J$8),0,IF(OR(AND($F109=$G109,$H109=""),$H109='Auto Responses'!$J$7),1,0)))))</f>
        <v>1</v>
      </c>
      <c r="M109" s="4" t="str">
        <f>VLOOKUP($A109,'Institution Evaluation'!$A$56:$K$345,11,0)&amp;""</f>
        <v>FALSE</v>
      </c>
      <c r="N109" s="4">
        <f>IF($J109='Auto Responses'!$J$11,1,IF(AND($J109="",$I109='Auto Responses'!$J$11),1,0))</f>
        <v>0</v>
      </c>
      <c r="O109" s="107">
        <f>IF(OR($E109='Auto Responses'!$L$13,$F109='Auto Responses'!$J$5),'Auto Responses'!$J$5,IF($J109="",$K109,IF($J109='Auto Responses'!$J$13,5,IF($J109='Auto Responses'!$J$12,10,IF($J109='Auto Responses'!$J$11,20,0)))))</f>
        <v>5</v>
      </c>
      <c r="P109" s="107">
        <f>IF(OR($O109='Auto Responses'!$J$5,$L109='Auto Responses'!$J$5),'Auto Responses'!$J$5,$O109*$L109)</f>
        <v>5</v>
      </c>
      <c r="Q109" s="107">
        <f t="shared" si="7"/>
        <v>0</v>
      </c>
      <c r="R109" s="107">
        <f t="shared" si="12"/>
        <v>0</v>
      </c>
      <c r="S109" s="107">
        <f t="shared" si="8"/>
        <v>0</v>
      </c>
      <c r="T109" s="107">
        <f t="shared" si="9"/>
        <v>0</v>
      </c>
      <c r="U109" s="107">
        <f t="shared" si="13"/>
        <v>34</v>
      </c>
      <c r="V109" s="107">
        <f t="shared" si="10"/>
        <v>0</v>
      </c>
    </row>
    <row r="110" spans="1:22" ht="55.2" x14ac:dyDescent="0.3">
      <c r="A110" s="4" t="str">
        <f>Questions!$A110</f>
        <v>CHNG-15</v>
      </c>
      <c r="B110" s="4" t="str">
        <f t="shared" si="11"/>
        <v>CHNG</v>
      </c>
      <c r="C110" s="4" t="str">
        <f>VLOOKUP($A110,Questions!$A$3:$L$333,2,0)&amp;""</f>
        <v>Do procedures exist to provide that emergency changes are documented and authorized (including after-the-fact approval)?</v>
      </c>
      <c r="D110" s="4" t="str">
        <f>VLOOKUP($A110,Questions!$A$3:$L$333,11,0)&amp;""</f>
        <v/>
      </c>
      <c r="E110" s="4" t="str">
        <f>VLOOKUP($A110,Questions!$A$3:$L$333,12,0)&amp;""</f>
        <v>Organization</v>
      </c>
      <c r="F110" s="4" t="str">
        <f>VLOOKUP($A110,'Institution Evaluation'!$A$56:$K$345,3,0)&amp;""</f>
        <v>Yes</v>
      </c>
      <c r="G110" s="4" t="str">
        <f>VLOOKUP($A110,'Institution Evaluation'!$A$56:$K$345,7,0)&amp;""</f>
        <v>Yes</v>
      </c>
      <c r="H110" s="4" t="str">
        <f>VLOOKUP($A110,'Institution Evaluation'!$A$56:$K$345,8,0)&amp;""</f>
        <v/>
      </c>
      <c r="I110" s="4" t="str">
        <f>VLOOKUP($A110,'Institution Evaluation'!$A$56:$K$345,9,0)&amp;""</f>
        <v>Minor Importance</v>
      </c>
      <c r="J110" s="4" t="str">
        <f>VLOOKUP($A110,'Institution Evaluation'!$A$56:$K$345,10,0)&amp;""</f>
        <v/>
      </c>
      <c r="K110" s="4">
        <f>IF($I110='Auto Responses'!$J$11,20,IF($I110='Auto Responses'!$J$13,5,10))</f>
        <v>5</v>
      </c>
      <c r="L110" s="107">
        <f>IF($E110='Auto Responses'!$L$13, 'Auto Responses'!$J$5,IF(AND($D110='Auto Responses'!$J$27,$H110=""),'Auto Responses'!$J$5,IF(AND($D110='Auto Responses'!$J$27,$H110='Auto Responses'!$J$7),1,IF(AND($D110='Auto Responses'!$J$27,$H110='Auto Responses'!$J$8),0,IF(OR(AND($F110=$G110,$H110=""),$H110='Auto Responses'!$J$7),1,0)))))</f>
        <v>1</v>
      </c>
      <c r="M110" s="4" t="str">
        <f>VLOOKUP($A110,'Institution Evaluation'!$A$56:$K$345,11,0)&amp;""</f>
        <v>FALSE</v>
      </c>
      <c r="N110" s="4">
        <f>IF($J110='Auto Responses'!$J$11,1,IF(AND($J110="",$I110='Auto Responses'!$J$11),1,0))</f>
        <v>0</v>
      </c>
      <c r="O110" s="107">
        <f>IF(OR($E110='Auto Responses'!$L$13,$F110='Auto Responses'!$J$5),'Auto Responses'!$J$5,IF($J110="",$K110,IF($J110='Auto Responses'!$J$13,5,IF($J110='Auto Responses'!$J$12,10,IF($J110='Auto Responses'!$J$11,20,0)))))</f>
        <v>5</v>
      </c>
      <c r="P110" s="107">
        <f>IF(OR($O110='Auto Responses'!$J$5,$L110='Auto Responses'!$J$5),'Auto Responses'!$J$5,$O110*$L110)</f>
        <v>5</v>
      </c>
      <c r="Q110" s="107">
        <f t="shared" si="7"/>
        <v>0</v>
      </c>
      <c r="R110" s="107">
        <f t="shared" si="12"/>
        <v>0</v>
      </c>
      <c r="S110" s="107">
        <f t="shared" si="8"/>
        <v>0</v>
      </c>
      <c r="T110" s="107">
        <f t="shared" si="9"/>
        <v>0</v>
      </c>
      <c r="U110" s="107">
        <f t="shared" si="13"/>
        <v>34</v>
      </c>
      <c r="V110" s="107">
        <f t="shared" si="10"/>
        <v>0</v>
      </c>
    </row>
    <row r="111" spans="1:22" ht="55.2" x14ac:dyDescent="0.3">
      <c r="A111" s="4" t="str">
        <f>Questions!$A111</f>
        <v>CHNG-16</v>
      </c>
      <c r="B111" s="4" t="str">
        <f t="shared" si="11"/>
        <v>CHNG</v>
      </c>
      <c r="C111" s="4" t="str">
        <f>VLOOKUP($A111,Questions!$A$3:$L$333,2,0)&amp;""</f>
        <v>Do you have a systems management and configuration strategy that encompasses servers, appliances, cloud services, applications, and mobile devices (company and employee owned)?</v>
      </c>
      <c r="D111" s="4" t="str">
        <f>VLOOKUP($A111,Questions!$A$3:$L$333,11,0)&amp;""</f>
        <v/>
      </c>
      <c r="E111" s="4" t="str">
        <f>VLOOKUP($A111,Questions!$A$3:$L$333,12,0)&amp;""</f>
        <v>Organization</v>
      </c>
      <c r="F111" s="4" t="str">
        <f>VLOOKUP($A111,'Institution Evaluation'!$A$56:$K$345,3,0)&amp;""</f>
        <v>Yes</v>
      </c>
      <c r="G111" s="4" t="str">
        <f>VLOOKUP($A111,'Institution Evaluation'!$A$56:$K$345,7,0)&amp;""</f>
        <v>Yes</v>
      </c>
      <c r="H111" s="4" t="str">
        <f>VLOOKUP($A111,'Institution Evaluation'!$A$56:$K$345,8,0)&amp;""</f>
        <v/>
      </c>
      <c r="I111" s="4" t="str">
        <f>VLOOKUP($A111,'Institution Evaluation'!$A$56:$K$345,9,0)&amp;""</f>
        <v>Minor Importance</v>
      </c>
      <c r="J111" s="4" t="str">
        <f>VLOOKUP($A111,'Institution Evaluation'!$A$56:$K$345,10,0)&amp;""</f>
        <v/>
      </c>
      <c r="K111" s="4">
        <f>IF($I111='Auto Responses'!$J$11,20,IF($I111='Auto Responses'!$J$13,5,10))</f>
        <v>5</v>
      </c>
      <c r="L111" s="107">
        <f>IF($E111='Auto Responses'!$L$13, 'Auto Responses'!$J$5,IF(AND($D111='Auto Responses'!$J$27,$H111=""),'Auto Responses'!$J$5,IF(AND($D111='Auto Responses'!$J$27,$H111='Auto Responses'!$J$7),1,IF(AND($D111='Auto Responses'!$J$27,$H111='Auto Responses'!$J$8),0,IF(OR(AND($F111=$G111,$H111=""),$H111='Auto Responses'!$J$7),1,0)))))</f>
        <v>1</v>
      </c>
      <c r="M111" s="4" t="str">
        <f>VLOOKUP($A111,'Institution Evaluation'!$A$56:$K$345,11,0)&amp;""</f>
        <v>FALSE</v>
      </c>
      <c r="N111" s="4">
        <f>IF($J111='Auto Responses'!$J$11,1,IF(AND($J111="",$I111='Auto Responses'!$J$11),1,0))</f>
        <v>0</v>
      </c>
      <c r="O111" s="107">
        <f>IF(OR($E111='Auto Responses'!$L$13,$F111='Auto Responses'!$J$5),'Auto Responses'!$J$5,IF($J111="",$K111,IF($J111='Auto Responses'!$J$13,5,IF($J111='Auto Responses'!$J$12,10,IF($J111='Auto Responses'!$J$11,20,0)))))</f>
        <v>5</v>
      </c>
      <c r="P111" s="107">
        <f>IF(OR($O111='Auto Responses'!$J$5,$L111='Auto Responses'!$J$5),'Auto Responses'!$J$5,$O111*$L111)</f>
        <v>5</v>
      </c>
      <c r="Q111" s="107">
        <f t="shared" si="7"/>
        <v>0</v>
      </c>
      <c r="R111" s="107">
        <f t="shared" si="12"/>
        <v>0</v>
      </c>
      <c r="S111" s="107">
        <f t="shared" si="8"/>
        <v>0</v>
      </c>
      <c r="T111" s="107">
        <f t="shared" si="9"/>
        <v>0</v>
      </c>
      <c r="U111" s="107">
        <f t="shared" si="13"/>
        <v>34</v>
      </c>
      <c r="V111" s="107">
        <f t="shared" si="10"/>
        <v>0</v>
      </c>
    </row>
    <row r="112" spans="1:22" ht="55.2" x14ac:dyDescent="0.3">
      <c r="A112" s="4" t="str">
        <f>Questions!$A112</f>
        <v>DATA-01</v>
      </c>
      <c r="B112" s="4" t="str">
        <f t="shared" si="11"/>
        <v>DATA</v>
      </c>
      <c r="C112" s="4" t="str">
        <f>VLOOKUP($A112,Questions!$A$3:$L$333,2,0)&amp;""</f>
        <v>Will the institution's data be stored on any devices (database servers, file servers, SAN, NAS, etc.) configured with non-RFC 1918/4193 (i.e., publicly routable) IP addresses?*</v>
      </c>
      <c r="D112" s="4" t="str">
        <f>VLOOKUP($A112,Questions!$A$3:$L$333,11,0)&amp;""</f>
        <v/>
      </c>
      <c r="E112" s="4" t="str">
        <f>VLOOKUP($A112,Questions!$A$3:$L$333,12,0)&amp;""</f>
        <v>Product</v>
      </c>
      <c r="F112" s="4" t="str">
        <f>VLOOKUP($A112,'Institution Evaluation'!$A$56:$K$345,3,0)&amp;""</f>
        <v>No</v>
      </c>
      <c r="G112" s="4" t="str">
        <f>VLOOKUP($A112,'Institution Evaluation'!$A$56:$K$345,7,0)&amp;""</f>
        <v>No</v>
      </c>
      <c r="H112" s="4" t="str">
        <f>VLOOKUP($A112,'Institution Evaluation'!$A$56:$K$345,8,0)&amp;""</f>
        <v/>
      </c>
      <c r="I112" s="4" t="str">
        <f>VLOOKUP($A112,'Institution Evaluation'!$A$56:$K$345,9,0)&amp;""</f>
        <v>Critical Importance</v>
      </c>
      <c r="J112" s="4" t="str">
        <f>VLOOKUP($A112,'Institution Evaluation'!$A$56:$K$345,10,0)&amp;""</f>
        <v/>
      </c>
      <c r="K112" s="4">
        <f>IF($I112='Auto Responses'!$J$11,20,IF($I112='Auto Responses'!$J$13,5,10))</f>
        <v>20</v>
      </c>
      <c r="L112" s="107">
        <f>IF($E112='Auto Responses'!$L$13, 'Auto Responses'!$J$5,IF(AND($D112='Auto Responses'!$J$27,$H112=""),'Auto Responses'!$J$5,IF(AND($D112='Auto Responses'!$J$27,$H112='Auto Responses'!$J$7),1,IF(AND($D112='Auto Responses'!$J$27,$H112='Auto Responses'!$J$8),0,IF(OR(AND($F112=$G112,$H112=""),$H112='Auto Responses'!$J$7),1,0)))))</f>
        <v>1</v>
      </c>
      <c r="M112" s="4" t="str">
        <f>VLOOKUP($A112,'Institution Evaluation'!$A$56:$K$345,11,0)&amp;""</f>
        <v>FALSE</v>
      </c>
      <c r="N112" s="4">
        <f>IF($J112='Auto Responses'!$J$11,1,IF(AND($J112="",$I112='Auto Responses'!$J$11),1,0))</f>
        <v>1</v>
      </c>
      <c r="O112" s="107">
        <f>IF(OR($F$17='Auto Responses'!$J$4,$E112='Auto Responses'!$L$13,$F112='Auto Responses'!$J$5),'Auto Responses'!$J$5,IF($J112="",$K112,IF($J112='Auto Responses'!$J$13,5,IF($J112='Auto Responses'!$J$12,10,IF($J112='Auto Responses'!$J$11,20,0)))))</f>
        <v>20</v>
      </c>
      <c r="P112" s="107">
        <f>IF(OR($O112='Auto Responses'!$J$5,$L112='Auto Responses'!$J$5),'Auto Responses'!$J$5,$O112*$L112)</f>
        <v>20</v>
      </c>
      <c r="Q112" s="107">
        <f t="shared" si="7"/>
        <v>0</v>
      </c>
      <c r="R112" s="107">
        <f t="shared" si="12"/>
        <v>0</v>
      </c>
      <c r="S112" s="107">
        <f t="shared" si="8"/>
        <v>0</v>
      </c>
      <c r="T112" s="107">
        <f t="shared" si="9"/>
        <v>1</v>
      </c>
      <c r="U112" s="107">
        <f t="shared" si="13"/>
        <v>35</v>
      </c>
      <c r="V112" s="107">
        <f t="shared" si="10"/>
        <v>35</v>
      </c>
    </row>
    <row r="113" spans="1:22" ht="55.2" x14ac:dyDescent="0.3">
      <c r="A113" s="4" t="str">
        <f>Questions!$A113</f>
        <v>DATA-02</v>
      </c>
      <c r="B113" s="4" t="str">
        <f t="shared" si="11"/>
        <v>DATA</v>
      </c>
      <c r="C113" s="4" t="str">
        <f>VLOOKUP($A113,Questions!$A$3:$L$333,2,0)&amp;""</f>
        <v>Is the transport of sensitive data encrypted using security protocols/algorithms (e.g., system-to-client)?*</v>
      </c>
      <c r="D113" s="4" t="str">
        <f>VLOOKUP($A113,Questions!$A$3:$L$333,11,0)&amp;""</f>
        <v/>
      </c>
      <c r="E113" s="4" t="str">
        <f>VLOOKUP($A113,Questions!$A$3:$L$333,12,0)&amp;""</f>
        <v>Product</v>
      </c>
      <c r="F113" s="4" t="str">
        <f>VLOOKUP($A113,'Institution Evaluation'!$A$56:$K$345,3,0)&amp;""</f>
        <v>Yes</v>
      </c>
      <c r="G113" s="4" t="str">
        <f>VLOOKUP($A113,'Institution Evaluation'!$A$56:$K$345,7,0)&amp;""</f>
        <v>Yes</v>
      </c>
      <c r="H113" s="4" t="str">
        <f>VLOOKUP($A113,'Institution Evaluation'!$A$56:$K$345,8,0)&amp;""</f>
        <v/>
      </c>
      <c r="I113" s="4" t="str">
        <f>VLOOKUP($A113,'Institution Evaluation'!$A$56:$K$345,9,0)&amp;""</f>
        <v>Critical Importance</v>
      </c>
      <c r="J113" s="4" t="str">
        <f>VLOOKUP($A113,'Institution Evaluation'!$A$56:$K$345,10,0)&amp;""</f>
        <v/>
      </c>
      <c r="K113" s="4">
        <f>IF($I113='Auto Responses'!$J$11,20,IF($I113='Auto Responses'!$J$13,5,10))</f>
        <v>20</v>
      </c>
      <c r="L113" s="107">
        <f>IF($E113='Auto Responses'!$L$13, 'Auto Responses'!$J$5,IF(AND($D113='Auto Responses'!$J$27,$H113=""),'Auto Responses'!$J$5,IF(AND($D113='Auto Responses'!$J$27,$H113='Auto Responses'!$J$7),1,IF(AND($D113='Auto Responses'!$J$27,$H113='Auto Responses'!$J$8),0,IF(OR(AND($F113=$G113,$H113=""),$H113='Auto Responses'!$J$7),1,0)))))</f>
        <v>1</v>
      </c>
      <c r="M113" s="4" t="str">
        <f>VLOOKUP($A113,'Institution Evaluation'!$A$56:$K$345,11,0)&amp;""</f>
        <v>FALSE</v>
      </c>
      <c r="N113" s="4">
        <f>IF($J113='Auto Responses'!$J$11,1,IF(AND($J113="",$I113='Auto Responses'!$J$11),1,0))</f>
        <v>1</v>
      </c>
      <c r="O113" s="107">
        <f>IF(OR($F$17='Auto Responses'!$J$4,$E113='Auto Responses'!$L$13,$F113='Auto Responses'!$J$5),'Auto Responses'!$J$5,IF($J113="",$K113,IF($J113='Auto Responses'!$J$13,5,IF($J113='Auto Responses'!$J$12,10,IF($J113='Auto Responses'!$J$11,20,0)))))</f>
        <v>20</v>
      </c>
      <c r="P113" s="107">
        <f>IF(OR($O113='Auto Responses'!$J$5,$L113='Auto Responses'!$J$5),'Auto Responses'!$J$5,$O113*$L113)</f>
        <v>20</v>
      </c>
      <c r="Q113" s="107">
        <f t="shared" si="7"/>
        <v>0</v>
      </c>
      <c r="R113" s="107">
        <f t="shared" si="12"/>
        <v>0</v>
      </c>
      <c r="S113" s="107">
        <f t="shared" si="8"/>
        <v>0</v>
      </c>
      <c r="T113" s="107">
        <f t="shared" si="9"/>
        <v>1</v>
      </c>
      <c r="U113" s="107">
        <f t="shared" si="13"/>
        <v>36</v>
      </c>
      <c r="V113" s="107">
        <f t="shared" si="10"/>
        <v>36</v>
      </c>
    </row>
    <row r="114" spans="1:22" ht="55.2" x14ac:dyDescent="0.3">
      <c r="A114" s="4" t="str">
        <f>Questions!$A114</f>
        <v>DATA-03</v>
      </c>
      <c r="B114" s="4" t="str">
        <f t="shared" si="11"/>
        <v>DATA</v>
      </c>
      <c r="C114" s="4" t="str">
        <f>VLOOKUP($A114,Questions!$A$3:$L$333,2,0)&amp;""</f>
        <v>Is the storage of sensitive data encrypted using security protocols/algorithms (e.g., disk encryption, at-rest, files, and within a running database)?*</v>
      </c>
      <c r="D114" s="4" t="str">
        <f>VLOOKUP($A114,Questions!$A$3:$L$333,11,0)&amp;""</f>
        <v/>
      </c>
      <c r="E114" s="4" t="str">
        <f>VLOOKUP($A114,Questions!$A$3:$L$333,12,0)&amp;""</f>
        <v>Product</v>
      </c>
      <c r="F114" s="4" t="str">
        <f>VLOOKUP($A114,'Institution Evaluation'!$A$56:$K$345,3,0)&amp;""</f>
        <v>Yes</v>
      </c>
      <c r="G114" s="4" t="str">
        <f>VLOOKUP($A114,'Institution Evaluation'!$A$56:$K$345,7,0)&amp;""</f>
        <v>Yes</v>
      </c>
      <c r="H114" s="4" t="str">
        <f>VLOOKUP($A114,'Institution Evaluation'!$A$56:$K$345,8,0)&amp;""</f>
        <v/>
      </c>
      <c r="I114" s="4" t="str">
        <f>VLOOKUP($A114,'Institution Evaluation'!$A$56:$K$345,9,0)&amp;""</f>
        <v>Critical Importance</v>
      </c>
      <c r="J114" s="4" t="str">
        <f>VLOOKUP($A114,'Institution Evaluation'!$A$56:$K$345,10,0)&amp;""</f>
        <v/>
      </c>
      <c r="K114" s="4">
        <f>IF($I114='Auto Responses'!$J$11,20,IF($I114='Auto Responses'!$J$13,5,10))</f>
        <v>20</v>
      </c>
      <c r="L114" s="107">
        <f>IF($E114='Auto Responses'!$L$13, 'Auto Responses'!$J$5,IF(AND($D114='Auto Responses'!$J$27,$H114=""),'Auto Responses'!$J$5,IF(AND($D114='Auto Responses'!$J$27,$H114='Auto Responses'!$J$7),1,IF(AND($D114='Auto Responses'!$J$27,$H114='Auto Responses'!$J$8),0,IF(OR(AND($F114=$G114,$H114=""),$H114='Auto Responses'!$J$7),1,0)))))</f>
        <v>1</v>
      </c>
      <c r="M114" s="4" t="str">
        <f>VLOOKUP($A114,'Institution Evaluation'!$A$56:$K$345,11,0)&amp;""</f>
        <v>FALSE</v>
      </c>
      <c r="N114" s="4">
        <f>IF($J114='Auto Responses'!$J$11,1,IF(AND($J114="",$I114='Auto Responses'!$J$11),1,0))</f>
        <v>1</v>
      </c>
      <c r="O114" s="107">
        <f>IF(OR($F$17='Auto Responses'!$J$4,$E114='Auto Responses'!$L$13,$F114='Auto Responses'!$J$5),'Auto Responses'!$J$5,IF($J114="",$K114,IF($J114='Auto Responses'!$J$13,5,IF($J114='Auto Responses'!$J$12,10,IF($J114='Auto Responses'!$J$11,20,0)))))</f>
        <v>20</v>
      </c>
      <c r="P114" s="107">
        <f>IF(OR($O114='Auto Responses'!$J$5,$L114='Auto Responses'!$J$5),'Auto Responses'!$J$5,$O114*$L114)</f>
        <v>20</v>
      </c>
      <c r="Q114" s="107">
        <f t="shared" si="7"/>
        <v>0</v>
      </c>
      <c r="R114" s="107">
        <f t="shared" si="12"/>
        <v>0</v>
      </c>
      <c r="S114" s="107">
        <f t="shared" si="8"/>
        <v>0</v>
      </c>
      <c r="T114" s="107">
        <f t="shared" si="9"/>
        <v>1</v>
      </c>
      <c r="U114" s="107">
        <f t="shared" si="13"/>
        <v>37</v>
      </c>
      <c r="V114" s="107">
        <f t="shared" si="10"/>
        <v>37</v>
      </c>
    </row>
    <row r="115" spans="1:22" ht="55.2" x14ac:dyDescent="0.3">
      <c r="A115" s="4" t="str">
        <f>Questions!$A115</f>
        <v>DATA-04</v>
      </c>
      <c r="B115" s="4" t="str">
        <f t="shared" si="11"/>
        <v>DATA</v>
      </c>
      <c r="C115" s="4" t="str">
        <f>VLOOKUP($A115,Questions!$A$3:$L$333,2,0)&amp;""</f>
        <v>Do all cryptographic modules in use in your solution conform to the Federal Information Processing Standards (FIPS PUB 140-2 or 140-3)?*</v>
      </c>
      <c r="D115" s="4" t="str">
        <f>VLOOKUP($A115,Questions!$A$3:$L$333,11,0)&amp;""</f>
        <v/>
      </c>
      <c r="E115" s="4" t="str">
        <f>VLOOKUP($A115,Questions!$A$3:$L$333,12,0)&amp;""</f>
        <v>Product</v>
      </c>
      <c r="F115" s="4" t="str">
        <f>VLOOKUP($A115,'Institution Evaluation'!$A$56:$K$345,3,0)&amp;""</f>
        <v>Yes</v>
      </c>
      <c r="G115" s="4" t="str">
        <f>VLOOKUP($A115,'Institution Evaluation'!$A$56:$K$345,7,0)&amp;""</f>
        <v>Yes</v>
      </c>
      <c r="H115" s="4" t="str">
        <f>VLOOKUP($A115,'Institution Evaluation'!$A$56:$K$345,8,0)&amp;""</f>
        <v/>
      </c>
      <c r="I115" s="4" t="str">
        <f>VLOOKUP($A115,'Institution Evaluation'!$A$56:$K$345,9,0)&amp;""</f>
        <v>Critical Importance</v>
      </c>
      <c r="J115" s="4" t="str">
        <f>VLOOKUP($A115,'Institution Evaluation'!$A$56:$K$345,10,0)&amp;""</f>
        <v/>
      </c>
      <c r="K115" s="4">
        <f>IF($I115='Auto Responses'!$J$11,20,IF($I115='Auto Responses'!$J$13,5,10))</f>
        <v>20</v>
      </c>
      <c r="L115" s="107">
        <f>IF($E115='Auto Responses'!$L$13, 'Auto Responses'!$J$5,IF(AND($D115='Auto Responses'!$J$27,$H115=""),'Auto Responses'!$J$5,IF(AND($D115='Auto Responses'!$J$27,$H115='Auto Responses'!$J$7),1,IF(AND($D115='Auto Responses'!$J$27,$H115='Auto Responses'!$J$8),0,IF(OR(AND($F115=$G115,$H115=""),$H115='Auto Responses'!$J$7),1,0)))))</f>
        <v>1</v>
      </c>
      <c r="M115" s="4" t="str">
        <f>VLOOKUP($A115,'Institution Evaluation'!$A$56:$K$345,11,0)&amp;""</f>
        <v>FALSE</v>
      </c>
      <c r="N115" s="4">
        <f>IF($J115='Auto Responses'!$J$11,1,IF(AND($J115="",$I115='Auto Responses'!$J$11),1,0))</f>
        <v>1</v>
      </c>
      <c r="O115" s="107">
        <f>IF(OR($F$17='Auto Responses'!$J$4,$E115='Auto Responses'!$L$13,$F115='Auto Responses'!$J$5),'Auto Responses'!$J$5,IF($J115="",$K115,IF($J115='Auto Responses'!$J$13,5,IF($J115='Auto Responses'!$J$12,10,IF($J115='Auto Responses'!$J$11,20,0)))))</f>
        <v>20</v>
      </c>
      <c r="P115" s="107">
        <f>IF(OR($O115='Auto Responses'!$J$5,$L115='Auto Responses'!$J$5),'Auto Responses'!$J$5,$O115*$L115)</f>
        <v>20</v>
      </c>
      <c r="Q115" s="107">
        <f t="shared" si="7"/>
        <v>0</v>
      </c>
      <c r="R115" s="107">
        <f t="shared" si="12"/>
        <v>0</v>
      </c>
      <c r="S115" s="107">
        <f t="shared" si="8"/>
        <v>0</v>
      </c>
      <c r="T115" s="107">
        <f t="shared" si="9"/>
        <v>1</v>
      </c>
      <c r="U115" s="107">
        <f t="shared" si="13"/>
        <v>38</v>
      </c>
      <c r="V115" s="107">
        <f t="shared" si="10"/>
        <v>38</v>
      </c>
    </row>
    <row r="116" spans="1:22" ht="55.2" x14ac:dyDescent="0.3">
      <c r="A116" s="4" t="str">
        <f>Questions!$A116</f>
        <v>DATA-05</v>
      </c>
      <c r="B116" s="4" t="str">
        <f t="shared" si="11"/>
        <v>DATA</v>
      </c>
      <c r="C116" s="4" t="str">
        <f>VLOOKUP($A116,Questions!$A$3:$L$333,2,0)&amp;""</f>
        <v>Will the institution's data be available within the system for a period of time at the completion of this contract?*</v>
      </c>
      <c r="D116" s="4" t="str">
        <f>VLOOKUP($A116,Questions!$A$3:$L$333,11,0)&amp;""</f>
        <v/>
      </c>
      <c r="E116" s="4" t="str">
        <f>VLOOKUP($A116,Questions!$A$3:$L$333,12,0)&amp;""</f>
        <v>Product</v>
      </c>
      <c r="F116" s="4" t="str">
        <f>VLOOKUP($A116,'Institution Evaluation'!$A$56:$K$345,3,0)&amp;""</f>
        <v>Yes</v>
      </c>
      <c r="G116" s="4" t="str">
        <f>VLOOKUP($A116,'Institution Evaluation'!$A$56:$K$345,7,0)&amp;""</f>
        <v>Yes</v>
      </c>
      <c r="H116" s="4" t="str">
        <f>VLOOKUP($A116,'Institution Evaluation'!$A$56:$K$345,8,0)&amp;""</f>
        <v/>
      </c>
      <c r="I116" s="4" t="str">
        <f>VLOOKUP($A116,'Institution Evaluation'!$A$56:$K$345,9,0)&amp;""</f>
        <v>Critical Importance</v>
      </c>
      <c r="J116" s="4" t="str">
        <f>VLOOKUP($A116,'Institution Evaluation'!$A$56:$K$345,10,0)&amp;""</f>
        <v/>
      </c>
      <c r="K116" s="4">
        <f>IF($I116='Auto Responses'!$J$11,20,IF($I116='Auto Responses'!$J$13,5,10))</f>
        <v>20</v>
      </c>
      <c r="L116" s="107">
        <f>IF($E116='Auto Responses'!$L$13, 'Auto Responses'!$J$5,IF(AND($D116='Auto Responses'!$J$27,$H116=""),'Auto Responses'!$J$5,IF(AND($D116='Auto Responses'!$J$27,$H116='Auto Responses'!$J$7),1,IF(AND($D116='Auto Responses'!$J$27,$H116='Auto Responses'!$J$8),0,IF(OR(AND($F116=$G116,$H116=""),$H116='Auto Responses'!$J$7),1,0)))))</f>
        <v>1</v>
      </c>
      <c r="M116" s="4" t="str">
        <f>VLOOKUP($A116,'Institution Evaluation'!$A$56:$K$345,11,0)&amp;""</f>
        <v>FALSE</v>
      </c>
      <c r="N116" s="4">
        <f>IF($J116='Auto Responses'!$J$11,1,IF(AND($J116="",$I116='Auto Responses'!$J$11),1,0))</f>
        <v>1</v>
      </c>
      <c r="O116" s="107">
        <f>IF(OR($F$17='Auto Responses'!$J$4,$E116='Auto Responses'!$L$13,$F116='Auto Responses'!$J$5),'Auto Responses'!$J$5,IF($J116="",$K116,IF($J116='Auto Responses'!$J$13,5,IF($J116='Auto Responses'!$J$12,10,IF($J116='Auto Responses'!$J$11,20,0)))))</f>
        <v>20</v>
      </c>
      <c r="P116" s="107">
        <f>IF(OR($O116='Auto Responses'!$J$5,$L116='Auto Responses'!$J$5),'Auto Responses'!$J$5,$O116*$L116)</f>
        <v>20</v>
      </c>
      <c r="Q116" s="107">
        <f t="shared" si="7"/>
        <v>0</v>
      </c>
      <c r="R116" s="107">
        <f t="shared" si="12"/>
        <v>0</v>
      </c>
      <c r="S116" s="107">
        <f t="shared" si="8"/>
        <v>0</v>
      </c>
      <c r="T116" s="107">
        <f t="shared" si="9"/>
        <v>1</v>
      </c>
      <c r="U116" s="107">
        <f t="shared" si="13"/>
        <v>39</v>
      </c>
      <c r="V116" s="107">
        <f t="shared" si="10"/>
        <v>39</v>
      </c>
    </row>
    <row r="117" spans="1:22" ht="55.2" x14ac:dyDescent="0.3">
      <c r="A117" s="4" t="str">
        <f>Questions!$A117</f>
        <v>DATA-06</v>
      </c>
      <c r="B117" s="4" t="str">
        <f t="shared" si="11"/>
        <v>DATA</v>
      </c>
      <c r="C117" s="4" t="str">
        <f>VLOOKUP($A117,Questions!$A$3:$L$333,2,0)&amp;""</f>
        <v>Are ownership rights to all data, inputs, outputs, and metadata retained even through a provider acquisition or bankruptcy event?*</v>
      </c>
      <c r="D117" s="4" t="str">
        <f>VLOOKUP($A117,Questions!$A$3:$L$333,11,0)&amp;""</f>
        <v/>
      </c>
      <c r="E117" s="4" t="str">
        <f>VLOOKUP($A117,Questions!$A$3:$L$333,12,0)&amp;""</f>
        <v>Product</v>
      </c>
      <c r="F117" s="4" t="str">
        <f>VLOOKUP($A117,'Institution Evaluation'!$A$56:$K$345,3,0)&amp;""</f>
        <v>Yes</v>
      </c>
      <c r="G117" s="4" t="str">
        <f>VLOOKUP($A117,'Institution Evaluation'!$A$56:$K$345,7,0)&amp;""</f>
        <v>Yes</v>
      </c>
      <c r="H117" s="4" t="str">
        <f>VLOOKUP($A117,'Institution Evaluation'!$A$56:$K$345,8,0)&amp;""</f>
        <v/>
      </c>
      <c r="I117" s="4" t="str">
        <f>VLOOKUP($A117,'Institution Evaluation'!$A$56:$K$345,9,0)&amp;""</f>
        <v>Critical Importance</v>
      </c>
      <c r="J117" s="4" t="str">
        <f>VLOOKUP($A117,'Institution Evaluation'!$A$56:$K$345,10,0)&amp;""</f>
        <v/>
      </c>
      <c r="K117" s="4">
        <f>IF($I117='Auto Responses'!$J$11,20,IF($I117='Auto Responses'!$J$13,5,10))</f>
        <v>20</v>
      </c>
      <c r="L117" s="107">
        <f>IF($E117='Auto Responses'!$L$13, 'Auto Responses'!$J$5,IF(AND($D117='Auto Responses'!$J$27,$H117=""),'Auto Responses'!$J$5,IF(AND($D117='Auto Responses'!$J$27,$H117='Auto Responses'!$J$7),1,IF(AND($D117='Auto Responses'!$J$27,$H117='Auto Responses'!$J$8),0,IF(OR(AND($F117=$G117,$H117=""),$H117='Auto Responses'!$J$7),1,0)))))</f>
        <v>1</v>
      </c>
      <c r="M117" s="4" t="str">
        <f>VLOOKUP($A117,'Institution Evaluation'!$A$56:$K$345,11,0)&amp;""</f>
        <v>FALSE</v>
      </c>
      <c r="N117" s="4">
        <f>IF($J117='Auto Responses'!$J$11,1,IF(AND($J117="",$I117='Auto Responses'!$J$11),1,0))</f>
        <v>1</v>
      </c>
      <c r="O117" s="107">
        <f>IF(OR($F$17='Auto Responses'!$J$4,$E117='Auto Responses'!$L$13,$F117='Auto Responses'!$J$5),'Auto Responses'!$J$5,IF($J117="",$K117,IF($J117='Auto Responses'!$J$13,5,IF($J117='Auto Responses'!$J$12,10,IF($J117='Auto Responses'!$J$11,20,0)))))</f>
        <v>20</v>
      </c>
      <c r="P117" s="107">
        <f>IF(OR($O117='Auto Responses'!$J$5,$L117='Auto Responses'!$J$5),'Auto Responses'!$J$5,$O117*$L117)</f>
        <v>20</v>
      </c>
      <c r="Q117" s="107">
        <f t="shared" si="7"/>
        <v>0</v>
      </c>
      <c r="R117" s="107">
        <f t="shared" si="12"/>
        <v>0</v>
      </c>
      <c r="S117" s="107">
        <f t="shared" si="8"/>
        <v>0</v>
      </c>
      <c r="T117" s="107">
        <f t="shared" si="9"/>
        <v>1</v>
      </c>
      <c r="U117" s="107">
        <f t="shared" si="13"/>
        <v>40</v>
      </c>
      <c r="V117" s="107">
        <f t="shared" si="10"/>
        <v>40</v>
      </c>
    </row>
    <row r="118" spans="1:22" ht="55.2" x14ac:dyDescent="0.3">
      <c r="A118" s="4" t="str">
        <f>Questions!$A118</f>
        <v>DATA-07</v>
      </c>
      <c r="B118" s="4" t="str">
        <f t="shared" si="11"/>
        <v>DATA</v>
      </c>
      <c r="C118" s="4" t="str">
        <f>VLOOKUP($A118,Questions!$A$3:$L$333,2,0)&amp;""</f>
        <v>Do backups containing the institution's data ever leave the institution's data zone either physically or via network routing?*</v>
      </c>
      <c r="D118" s="4" t="str">
        <f>VLOOKUP($A118,Questions!$A$3:$L$333,11,0)&amp;""</f>
        <v/>
      </c>
      <c r="E118" s="4" t="str">
        <f>VLOOKUP($A118,Questions!$A$3:$L$333,12,0)&amp;""</f>
        <v>Product</v>
      </c>
      <c r="F118" s="4" t="str">
        <f>VLOOKUP($A118,'Institution Evaluation'!$A$56:$K$345,3,0)&amp;""</f>
        <v>No</v>
      </c>
      <c r="G118" s="4" t="str">
        <f>VLOOKUP($A118,'Institution Evaluation'!$A$56:$K$345,7,0)&amp;""</f>
        <v>No</v>
      </c>
      <c r="H118" s="4" t="str">
        <f>VLOOKUP($A118,'Institution Evaluation'!$A$56:$K$345,8,0)&amp;""</f>
        <v/>
      </c>
      <c r="I118" s="4" t="str">
        <f>VLOOKUP($A118,'Institution Evaluation'!$A$56:$K$345,9,0)&amp;""</f>
        <v>Critical Importance</v>
      </c>
      <c r="J118" s="4" t="str">
        <f>VLOOKUP($A118,'Institution Evaluation'!$A$56:$K$345,10,0)&amp;""</f>
        <v/>
      </c>
      <c r="K118" s="4">
        <f>IF($I118='Auto Responses'!$J$11,20,IF($I118='Auto Responses'!$J$13,5,10))</f>
        <v>20</v>
      </c>
      <c r="L118" s="107">
        <f>IF($E118='Auto Responses'!$L$13, 'Auto Responses'!$J$5,IF(AND($D118='Auto Responses'!$J$27,$H118=""),'Auto Responses'!$J$5,IF(AND($D118='Auto Responses'!$J$27,$H118='Auto Responses'!$J$7),1,IF(AND($D118='Auto Responses'!$J$27,$H118='Auto Responses'!$J$8),0,IF(OR(AND($F118=$G118,$H118=""),$H118='Auto Responses'!$J$7),1,0)))))</f>
        <v>1</v>
      </c>
      <c r="M118" s="4" t="str">
        <f>VLOOKUP($A118,'Institution Evaluation'!$A$56:$K$345,11,0)&amp;""</f>
        <v>FALSE</v>
      </c>
      <c r="N118" s="4">
        <f>IF($J118='Auto Responses'!$J$11,1,IF(AND($J118="",$I118='Auto Responses'!$J$11),1,0))</f>
        <v>1</v>
      </c>
      <c r="O118" s="107">
        <f>IF(OR($F$17='Auto Responses'!$J$4,$E118='Auto Responses'!$L$13,$F118='Auto Responses'!$J$5),'Auto Responses'!$J$5,IF($J118="",$K118,IF($J118='Auto Responses'!$J$13,5,IF($J118='Auto Responses'!$J$12,10,IF($J118='Auto Responses'!$J$11,20,0)))))</f>
        <v>20</v>
      </c>
      <c r="P118" s="107">
        <f>IF(OR($O118='Auto Responses'!$J$5,$L118='Auto Responses'!$J$5),'Auto Responses'!$J$5,$O118*$L118)</f>
        <v>20</v>
      </c>
      <c r="Q118" s="107">
        <f t="shared" si="7"/>
        <v>0</v>
      </c>
      <c r="R118" s="107">
        <f t="shared" si="12"/>
        <v>0</v>
      </c>
      <c r="S118" s="107">
        <f t="shared" si="8"/>
        <v>0</v>
      </c>
      <c r="T118" s="107">
        <f t="shared" si="9"/>
        <v>1</v>
      </c>
      <c r="U118" s="107">
        <f t="shared" si="13"/>
        <v>41</v>
      </c>
      <c r="V118" s="107">
        <f t="shared" si="10"/>
        <v>41</v>
      </c>
    </row>
    <row r="119" spans="1:22" ht="55.2" x14ac:dyDescent="0.3">
      <c r="A119" s="4" t="str">
        <f>Questions!$A119</f>
        <v>DATA-08</v>
      </c>
      <c r="B119" s="4" t="str">
        <f t="shared" si="11"/>
        <v>DATA</v>
      </c>
      <c r="C119" s="4" t="str">
        <f>VLOOKUP($A119,Questions!$A$3:$L$333,2,0)&amp;""</f>
        <v>Is media used for long-term retention of business data and archival purposes stored in a secure, environmentally protected area?*</v>
      </c>
      <c r="D119" s="4" t="str">
        <f>VLOOKUP($A119,Questions!$A$3:$L$333,11,0)&amp;""</f>
        <v/>
      </c>
      <c r="E119" s="4" t="str">
        <f>VLOOKUP($A119,Questions!$A$3:$L$333,12,0)&amp;""</f>
        <v>Product</v>
      </c>
      <c r="F119" s="4" t="str">
        <f>VLOOKUP($A119,'Institution Evaluation'!$A$56:$K$345,3,0)&amp;""</f>
        <v>Yes</v>
      </c>
      <c r="G119" s="4" t="str">
        <f>VLOOKUP($A119,'Institution Evaluation'!$A$56:$K$345,7,0)&amp;""</f>
        <v>Yes</v>
      </c>
      <c r="H119" s="4" t="str">
        <f>VLOOKUP($A119,'Institution Evaluation'!$A$56:$K$345,8,0)&amp;""</f>
        <v/>
      </c>
      <c r="I119" s="4" t="str">
        <f>VLOOKUP($A119,'Institution Evaluation'!$A$56:$K$345,9,0)&amp;""</f>
        <v>Critical Importance</v>
      </c>
      <c r="J119" s="4" t="str">
        <f>VLOOKUP($A119,'Institution Evaluation'!$A$56:$K$345,10,0)&amp;""</f>
        <v/>
      </c>
      <c r="K119" s="4">
        <f>IF($I119='Auto Responses'!$J$11,20,IF($I119='Auto Responses'!$J$13,5,10))</f>
        <v>20</v>
      </c>
      <c r="L119" s="107">
        <f>IF($E119='Auto Responses'!$L$13, 'Auto Responses'!$J$5,IF(AND($D119='Auto Responses'!$J$27,$H119=""),'Auto Responses'!$J$5,IF(AND($D119='Auto Responses'!$J$27,$H119='Auto Responses'!$J$7),1,IF(AND($D119='Auto Responses'!$J$27,$H119='Auto Responses'!$J$8),0,IF(OR(AND($F119=$G119,$H119=""),$H119='Auto Responses'!$J$7),1,0)))))</f>
        <v>1</v>
      </c>
      <c r="M119" s="4" t="str">
        <f>VLOOKUP($A119,'Institution Evaluation'!$A$56:$K$345,11,0)&amp;""</f>
        <v>FALSE</v>
      </c>
      <c r="N119" s="4">
        <f>IF($J119='Auto Responses'!$J$11,1,IF(AND($J119="",$I119='Auto Responses'!$J$11),1,0))</f>
        <v>1</v>
      </c>
      <c r="O119" s="107">
        <f>IF(OR($F$17='Auto Responses'!$J$4,$E119='Auto Responses'!$L$13,$F119='Auto Responses'!$J$5),'Auto Responses'!$J$5,IF($J119="",$K119,IF($J119='Auto Responses'!$J$13,5,IF($J119='Auto Responses'!$J$12,10,IF($J119='Auto Responses'!$J$11,20,0)))))</f>
        <v>20</v>
      </c>
      <c r="P119" s="107">
        <f>IF(OR($O119='Auto Responses'!$J$5,$L119='Auto Responses'!$J$5),'Auto Responses'!$J$5,$O119*$L119)</f>
        <v>20</v>
      </c>
      <c r="Q119" s="107">
        <f t="shared" si="7"/>
        <v>0</v>
      </c>
      <c r="R119" s="107">
        <f t="shared" si="12"/>
        <v>0</v>
      </c>
      <c r="S119" s="107">
        <f t="shared" si="8"/>
        <v>0</v>
      </c>
      <c r="T119" s="107">
        <f t="shared" si="9"/>
        <v>1</v>
      </c>
      <c r="U119" s="107">
        <f t="shared" si="13"/>
        <v>42</v>
      </c>
      <c r="V119" s="107">
        <f t="shared" si="10"/>
        <v>42</v>
      </c>
    </row>
    <row r="120" spans="1:22" ht="55.2" x14ac:dyDescent="0.3">
      <c r="A120" s="4" t="str">
        <f>Questions!$A120</f>
        <v>DATA-09</v>
      </c>
      <c r="B120" s="4" t="str">
        <f t="shared" si="11"/>
        <v>DATA</v>
      </c>
      <c r="C120" s="4" t="str">
        <f>VLOOKUP($A120,Questions!$A$3:$L$333,2,0)&amp;""</f>
        <v>At the completion of this contract, will data be returned to the institution and/or deleted from all your systems and archives?</v>
      </c>
      <c r="D120" s="4" t="str">
        <f>VLOOKUP($A120,Questions!$A$3:$L$333,11,0)&amp;""</f>
        <v/>
      </c>
      <c r="E120" s="4" t="str">
        <f>VLOOKUP($A120,Questions!$A$3:$L$333,12,0)&amp;""</f>
        <v>Product</v>
      </c>
      <c r="F120" s="4" t="str">
        <f>VLOOKUP($A120,'Institution Evaluation'!$A$56:$K$345,3,0)&amp;""</f>
        <v>Yes</v>
      </c>
      <c r="G120" s="4" t="str">
        <f>VLOOKUP($A120,'Institution Evaluation'!$A$56:$K$345,7,0)&amp;""</f>
        <v>Yes</v>
      </c>
      <c r="H120" s="4" t="str">
        <f>VLOOKUP($A120,'Institution Evaluation'!$A$56:$K$345,8,0)&amp;""</f>
        <v/>
      </c>
      <c r="I120" s="4" t="str">
        <f>VLOOKUP($A120,'Institution Evaluation'!$A$56:$K$345,9,0)&amp;""</f>
        <v>Standard Importance</v>
      </c>
      <c r="J120" s="4" t="str">
        <f>VLOOKUP($A120,'Institution Evaluation'!$A$56:$K$345,10,0)&amp;""</f>
        <v/>
      </c>
      <c r="K120" s="4">
        <f>IF($I120='Auto Responses'!$J$11,20,IF($I120='Auto Responses'!$J$13,5,10))</f>
        <v>10</v>
      </c>
      <c r="L120" s="107">
        <f>IF($E120='Auto Responses'!$L$13, 'Auto Responses'!$J$5,IF(AND($D120='Auto Responses'!$J$27,$H120=""),'Auto Responses'!$J$5,IF(AND($D120='Auto Responses'!$J$27,$H120='Auto Responses'!$J$7),1,IF(AND($D120='Auto Responses'!$J$27,$H120='Auto Responses'!$J$8),0,IF(OR(AND($F120=$G120,$H120=""),$H120='Auto Responses'!$J$7),1,0)))))</f>
        <v>1</v>
      </c>
      <c r="M120" s="4" t="str">
        <f>VLOOKUP($A120,'Institution Evaluation'!$A$56:$K$345,11,0)&amp;""</f>
        <v>FALSE</v>
      </c>
      <c r="N120" s="4">
        <f>IF($J120='Auto Responses'!$J$11,1,IF(AND($J120="",$I120='Auto Responses'!$J$11),1,0))</f>
        <v>0</v>
      </c>
      <c r="O120" s="107">
        <f>IF(OR($F$17='Auto Responses'!$J$4,$E120='Auto Responses'!$L$13,$F120='Auto Responses'!$J$5),'Auto Responses'!$J$5,IF($J120="",$K120,IF($J120='Auto Responses'!$J$13,5,IF($J120='Auto Responses'!$J$12,10,IF($J120='Auto Responses'!$J$11,20,0)))))</f>
        <v>10</v>
      </c>
      <c r="P120" s="107">
        <f>IF(OR($O120='Auto Responses'!$J$5,$L120='Auto Responses'!$J$5),'Auto Responses'!$J$5,$O120*$L120)</f>
        <v>10</v>
      </c>
      <c r="Q120" s="107">
        <f t="shared" si="7"/>
        <v>0</v>
      </c>
      <c r="R120" s="107">
        <f t="shared" si="12"/>
        <v>0</v>
      </c>
      <c r="S120" s="107">
        <f t="shared" si="8"/>
        <v>0</v>
      </c>
      <c r="T120" s="107">
        <f t="shared" si="9"/>
        <v>0</v>
      </c>
      <c r="U120" s="107">
        <f t="shared" si="13"/>
        <v>42</v>
      </c>
      <c r="V120" s="107">
        <f t="shared" si="10"/>
        <v>0</v>
      </c>
    </row>
    <row r="121" spans="1:22" ht="55.2" x14ac:dyDescent="0.3">
      <c r="A121" s="4" t="str">
        <f>Questions!$A121</f>
        <v>DATA-10</v>
      </c>
      <c r="B121" s="4" t="str">
        <f t="shared" si="11"/>
        <v>DATA</v>
      </c>
      <c r="C121" s="4" t="str">
        <f>VLOOKUP($A121,Questions!$A$3:$L$333,2,0)&amp;""</f>
        <v>Can the institution extract a full or partial backup of data?</v>
      </c>
      <c r="D121" s="4" t="str">
        <f>VLOOKUP($A121,Questions!$A$3:$L$333,11,0)&amp;""</f>
        <v/>
      </c>
      <c r="E121" s="4" t="str">
        <f>VLOOKUP($A121,Questions!$A$3:$L$333,12,0)&amp;""</f>
        <v>Product</v>
      </c>
      <c r="F121" s="4" t="str">
        <f>VLOOKUP($A121,'Institution Evaluation'!$A$56:$K$345,3,0)&amp;""</f>
        <v>Yes</v>
      </c>
      <c r="G121" s="4" t="str">
        <f>VLOOKUP($A121,'Institution Evaluation'!$A$56:$K$345,7,0)&amp;""</f>
        <v>Yes</v>
      </c>
      <c r="H121" s="4" t="str">
        <f>VLOOKUP($A121,'Institution Evaluation'!$A$56:$K$345,8,0)&amp;""</f>
        <v/>
      </c>
      <c r="I121" s="4" t="str">
        <f>VLOOKUP($A121,'Institution Evaluation'!$A$56:$K$345,9,0)&amp;""</f>
        <v>Standard Importance</v>
      </c>
      <c r="J121" s="4" t="str">
        <f>VLOOKUP($A121,'Institution Evaluation'!$A$56:$K$345,10,0)&amp;""</f>
        <v/>
      </c>
      <c r="K121" s="4">
        <f>IF($I121='Auto Responses'!$J$11,20,IF($I121='Auto Responses'!$J$13,5,10))</f>
        <v>10</v>
      </c>
      <c r="L121" s="107">
        <f>IF($E121='Auto Responses'!$L$13, 'Auto Responses'!$J$5,IF(AND($D121='Auto Responses'!$J$27,$H121=""),'Auto Responses'!$J$5,IF(AND($D121='Auto Responses'!$J$27,$H121='Auto Responses'!$J$7),1,IF(AND($D121='Auto Responses'!$J$27,$H121='Auto Responses'!$J$8),0,IF(OR(AND($F121=$G121,$H121=""),$H121='Auto Responses'!$J$7),1,0)))))</f>
        <v>1</v>
      </c>
      <c r="M121" s="4" t="str">
        <f>VLOOKUP($A121,'Institution Evaluation'!$A$56:$K$345,11,0)&amp;""</f>
        <v>FALSE</v>
      </c>
      <c r="N121" s="4">
        <f>IF($J121='Auto Responses'!$J$11,1,IF(AND($J121="",$I121='Auto Responses'!$J$11),1,0))</f>
        <v>0</v>
      </c>
      <c r="O121" s="107">
        <f>IF(OR($F$17='Auto Responses'!$J$4,$E121='Auto Responses'!$L$13,$F121='Auto Responses'!$J$5),'Auto Responses'!$J$5,IF($J121="",$K121,IF($J121='Auto Responses'!$J$13,5,IF($J121='Auto Responses'!$J$12,10,IF($J121='Auto Responses'!$J$11,20,0)))))</f>
        <v>10</v>
      </c>
      <c r="P121" s="107">
        <f>IF(OR($O121='Auto Responses'!$J$5,$L121='Auto Responses'!$J$5),'Auto Responses'!$J$5,$O121*$L121)</f>
        <v>10</v>
      </c>
      <c r="Q121" s="107">
        <f t="shared" si="7"/>
        <v>0</v>
      </c>
      <c r="R121" s="107">
        <f t="shared" si="12"/>
        <v>0</v>
      </c>
      <c r="S121" s="107">
        <f t="shared" si="8"/>
        <v>0</v>
      </c>
      <c r="T121" s="107">
        <f t="shared" si="9"/>
        <v>0</v>
      </c>
      <c r="U121" s="107">
        <f t="shared" si="13"/>
        <v>42</v>
      </c>
      <c r="V121" s="107">
        <f t="shared" si="10"/>
        <v>0</v>
      </c>
    </row>
    <row r="122" spans="1:22" ht="55.2" x14ac:dyDescent="0.3">
      <c r="A122" s="4" t="str">
        <f>Questions!$A122</f>
        <v>DATA-11</v>
      </c>
      <c r="B122" s="4" t="str">
        <f t="shared" si="11"/>
        <v>DATA</v>
      </c>
      <c r="C122" s="4" t="str">
        <f>VLOOKUP($A122,Questions!$A$3:$L$333,2,0)&amp;""</f>
        <v>Do current backups include all operating system software, utilities, security software, application software, and data files necessary for recovery?</v>
      </c>
      <c r="D122" s="4" t="str">
        <f>VLOOKUP($A122,Questions!$A$3:$L$333,11,0)&amp;""</f>
        <v/>
      </c>
      <c r="E122" s="4" t="str">
        <f>VLOOKUP($A122,Questions!$A$3:$L$333,12,0)&amp;""</f>
        <v>Product</v>
      </c>
      <c r="F122" s="4" t="str">
        <f>VLOOKUP($A122,'Institution Evaluation'!$A$56:$K$345,3,0)&amp;""</f>
        <v>Yes</v>
      </c>
      <c r="G122" s="4" t="str">
        <f>VLOOKUP($A122,'Institution Evaluation'!$A$56:$K$345,7,0)&amp;""</f>
        <v>Yes</v>
      </c>
      <c r="H122" s="4" t="str">
        <f>VLOOKUP($A122,'Institution Evaluation'!$A$56:$K$345,8,0)&amp;""</f>
        <v/>
      </c>
      <c r="I122" s="4" t="str">
        <f>VLOOKUP($A122,'Institution Evaluation'!$A$56:$K$345,9,0)&amp;""</f>
        <v>Standard Importance</v>
      </c>
      <c r="J122" s="4" t="str">
        <f>VLOOKUP($A122,'Institution Evaluation'!$A$56:$K$345,10,0)&amp;""</f>
        <v/>
      </c>
      <c r="K122" s="4">
        <f>IF($I122='Auto Responses'!$J$11,20,IF($I122='Auto Responses'!$J$13,5,10))</f>
        <v>10</v>
      </c>
      <c r="L122" s="107">
        <f>IF($E122='Auto Responses'!$L$13, 'Auto Responses'!$J$5,IF(AND($D122='Auto Responses'!$J$27,$H122=""),'Auto Responses'!$J$5,IF(AND($D122='Auto Responses'!$J$27,$H122='Auto Responses'!$J$7),1,IF(AND($D122='Auto Responses'!$J$27,$H122='Auto Responses'!$J$8),0,IF(OR(AND($F122=$G122,$H122=""),$H122='Auto Responses'!$J$7),1,0)))))</f>
        <v>1</v>
      </c>
      <c r="M122" s="4" t="str">
        <f>VLOOKUP($A122,'Institution Evaluation'!$A$56:$K$345,11,0)&amp;""</f>
        <v>FALSE</v>
      </c>
      <c r="N122" s="4">
        <f>IF($J122='Auto Responses'!$J$11,1,IF(AND($J122="",$I122='Auto Responses'!$J$11),1,0))</f>
        <v>0</v>
      </c>
      <c r="O122" s="107">
        <f>IF(OR($F$17='Auto Responses'!$J$4,$E122='Auto Responses'!$L$13,$F122='Auto Responses'!$J$5),'Auto Responses'!$J$5,IF($J122="",$K122,IF($J122='Auto Responses'!$J$13,5,IF($J122='Auto Responses'!$J$12,10,IF($J122='Auto Responses'!$J$11,20,0)))))</f>
        <v>10</v>
      </c>
      <c r="P122" s="107">
        <f>IF(OR($O122='Auto Responses'!$J$5,$L122='Auto Responses'!$J$5),'Auto Responses'!$J$5,$O122*$L122)</f>
        <v>10</v>
      </c>
      <c r="Q122" s="107">
        <f t="shared" si="7"/>
        <v>0</v>
      </c>
      <c r="R122" s="107">
        <f t="shared" si="12"/>
        <v>0</v>
      </c>
      <c r="S122" s="107">
        <f t="shared" si="8"/>
        <v>0</v>
      </c>
      <c r="T122" s="107">
        <f t="shared" si="9"/>
        <v>0</v>
      </c>
      <c r="U122" s="107">
        <f t="shared" si="13"/>
        <v>42</v>
      </c>
      <c r="V122" s="107">
        <f t="shared" si="10"/>
        <v>0</v>
      </c>
    </row>
    <row r="123" spans="1:22" ht="55.2" x14ac:dyDescent="0.3">
      <c r="A123" s="4" t="str">
        <f>Questions!$A123</f>
        <v>DATA-12</v>
      </c>
      <c r="B123" s="4" t="str">
        <f t="shared" si="11"/>
        <v>DATA</v>
      </c>
      <c r="C123" s="4" t="str">
        <f>VLOOKUP($A123,Questions!$A$3:$L$333,2,0)&amp;""</f>
        <v>Are you performing off-site backups (i.e., digitally moved off site)?</v>
      </c>
      <c r="D123" s="4" t="str">
        <f>VLOOKUP($A123,Questions!$A$3:$L$333,11,0)&amp;""</f>
        <v/>
      </c>
      <c r="E123" s="4" t="str">
        <f>VLOOKUP($A123,Questions!$A$3:$L$333,12,0)&amp;""</f>
        <v>Product</v>
      </c>
      <c r="F123" s="4" t="str">
        <f>VLOOKUP($A123,'Institution Evaluation'!$A$56:$K$345,3,0)&amp;""</f>
        <v>Yes</v>
      </c>
      <c r="G123" s="4" t="str">
        <f>VLOOKUP($A123,'Institution Evaluation'!$A$56:$K$345,7,0)&amp;""</f>
        <v>Yes</v>
      </c>
      <c r="H123" s="4" t="str">
        <f>VLOOKUP($A123,'Institution Evaluation'!$A$56:$K$345,8,0)&amp;""</f>
        <v/>
      </c>
      <c r="I123" s="4" t="str">
        <f>VLOOKUP($A123,'Institution Evaluation'!$A$56:$K$345,9,0)&amp;""</f>
        <v>Standard Importance</v>
      </c>
      <c r="J123" s="4" t="str">
        <f>VLOOKUP($A123,'Institution Evaluation'!$A$56:$K$345,10,0)&amp;""</f>
        <v/>
      </c>
      <c r="K123" s="4">
        <f>IF($I123='Auto Responses'!$J$11,20,IF($I123='Auto Responses'!$J$13,5,10))</f>
        <v>10</v>
      </c>
      <c r="L123" s="107">
        <f>IF($E123='Auto Responses'!$L$13, 'Auto Responses'!$J$5,IF(AND($D123='Auto Responses'!$J$27,$H123=""),'Auto Responses'!$J$5,IF(AND($D123='Auto Responses'!$J$27,$H123='Auto Responses'!$J$7),1,IF(AND($D123='Auto Responses'!$J$27,$H123='Auto Responses'!$J$8),0,IF(OR(AND($F123=$G123,$H123=""),$H123='Auto Responses'!$J$7),1,0)))))</f>
        <v>1</v>
      </c>
      <c r="M123" s="4" t="str">
        <f>VLOOKUP($A123,'Institution Evaluation'!$A$56:$K$345,11,0)&amp;""</f>
        <v>FALSE</v>
      </c>
      <c r="N123" s="4">
        <f>IF($J123='Auto Responses'!$J$11,1,IF(AND($J123="",$I123='Auto Responses'!$J$11),1,0))</f>
        <v>0</v>
      </c>
      <c r="O123" s="107">
        <f>IF(OR($F$17='Auto Responses'!$J$4,$E123='Auto Responses'!$L$13,$F123='Auto Responses'!$J$5),'Auto Responses'!$J$5,IF($J123="",$K123,IF($J123='Auto Responses'!$J$13,5,IF($J123='Auto Responses'!$J$12,10,IF($J123='Auto Responses'!$J$11,20,0)))))</f>
        <v>10</v>
      </c>
      <c r="P123" s="107">
        <f>IF(OR($O123='Auto Responses'!$J$5,$L123='Auto Responses'!$J$5),'Auto Responses'!$J$5,$O123*$L123)</f>
        <v>10</v>
      </c>
      <c r="Q123" s="107">
        <f t="shared" si="7"/>
        <v>0</v>
      </c>
      <c r="R123" s="107">
        <f t="shared" si="12"/>
        <v>0</v>
      </c>
      <c r="S123" s="107">
        <f t="shared" si="8"/>
        <v>0</v>
      </c>
      <c r="T123" s="107">
        <f t="shared" si="9"/>
        <v>0</v>
      </c>
      <c r="U123" s="107">
        <f t="shared" si="13"/>
        <v>42</v>
      </c>
      <c r="V123" s="107">
        <f t="shared" si="10"/>
        <v>0</v>
      </c>
    </row>
    <row r="124" spans="1:22" ht="55.2" x14ac:dyDescent="0.3">
      <c r="A124" s="4" t="str">
        <f>Questions!$A124</f>
        <v>DATA-13</v>
      </c>
      <c r="B124" s="4" t="str">
        <f t="shared" si="11"/>
        <v>DATA</v>
      </c>
      <c r="C124" s="4" t="str">
        <f>VLOOKUP($A124,Questions!$A$3:$L$333,2,0)&amp;""</f>
        <v>Are physical backups taken off-site (i.e., physically moved off site)?</v>
      </c>
      <c r="D124" s="4" t="str">
        <f>VLOOKUP($A124,Questions!$A$3:$L$333,11,0)&amp;""</f>
        <v/>
      </c>
      <c r="E124" s="4" t="str">
        <f>VLOOKUP($A124,Questions!$A$3:$L$333,12,0)&amp;""</f>
        <v>Product</v>
      </c>
      <c r="F124" s="4" t="str">
        <f>VLOOKUP($A124,'Institution Evaluation'!$A$56:$K$345,3,0)&amp;""</f>
        <v>No</v>
      </c>
      <c r="G124" s="4" t="str">
        <f>VLOOKUP($A124,'Institution Evaluation'!$A$56:$K$345,7,0)&amp;""</f>
        <v>Yes</v>
      </c>
      <c r="H124" s="4" t="str">
        <f>VLOOKUP($A124,'Institution Evaluation'!$A$56:$K$345,8,0)&amp;""</f>
        <v/>
      </c>
      <c r="I124" s="4" t="str">
        <f>VLOOKUP($A124,'Institution Evaluation'!$A$56:$K$345,9,0)&amp;""</f>
        <v>Standard Importance</v>
      </c>
      <c r="J124" s="4" t="str">
        <f>VLOOKUP($A124,'Institution Evaluation'!$A$56:$K$345,10,0)&amp;""</f>
        <v/>
      </c>
      <c r="K124" s="4">
        <f>IF($I124='Auto Responses'!$J$11,20,IF($I124='Auto Responses'!$J$13,5,10))</f>
        <v>10</v>
      </c>
      <c r="L124" s="107">
        <f>IF($E124='Auto Responses'!$L$13, 'Auto Responses'!$J$5,IF(AND($D124='Auto Responses'!$J$27,$H124=""),'Auto Responses'!$J$5,IF(AND($D124='Auto Responses'!$J$27,$H124='Auto Responses'!$J$7),1,IF(AND($D124='Auto Responses'!$J$27,$H124='Auto Responses'!$J$8),0,IF(OR(AND($F124=$G124,$H124=""),$H124='Auto Responses'!$J$7),1,0)))))</f>
        <v>0</v>
      </c>
      <c r="M124" s="4" t="str">
        <f>VLOOKUP($A124,'Institution Evaluation'!$A$56:$K$345,11,0)&amp;""</f>
        <v>FALSE</v>
      </c>
      <c r="N124" s="4">
        <f>IF($J124='Auto Responses'!$J$11,1,IF(AND($J124="",$I124='Auto Responses'!$J$11),1,0))</f>
        <v>0</v>
      </c>
      <c r="O124" s="107">
        <f>IF(OR($F$17='Auto Responses'!$J$4,$E124='Auto Responses'!$L$13,$F124='Auto Responses'!$J$5),'Auto Responses'!$J$5,IF($J124="",$K124,IF($J124='Auto Responses'!$J$13,5,IF($J124='Auto Responses'!$J$12,10,IF($J124='Auto Responses'!$J$11,20,0)))))</f>
        <v>10</v>
      </c>
      <c r="P124" s="107">
        <f>IF(OR($O124='Auto Responses'!$J$5,$L124='Auto Responses'!$J$5),'Auto Responses'!$J$5,$O124*$L124)</f>
        <v>0</v>
      </c>
      <c r="Q124" s="107">
        <f t="shared" si="7"/>
        <v>0</v>
      </c>
      <c r="R124" s="107">
        <f t="shared" si="12"/>
        <v>0</v>
      </c>
      <c r="S124" s="107">
        <f t="shared" si="8"/>
        <v>0</v>
      </c>
      <c r="T124" s="107">
        <f t="shared" si="9"/>
        <v>0</v>
      </c>
      <c r="U124" s="107">
        <f t="shared" si="13"/>
        <v>42</v>
      </c>
      <c r="V124" s="107">
        <f t="shared" si="10"/>
        <v>0</v>
      </c>
    </row>
    <row r="125" spans="1:22" ht="69" x14ac:dyDescent="0.3">
      <c r="A125" s="4" t="str">
        <f>Questions!$A126</f>
        <v>DATA-15</v>
      </c>
      <c r="B125" s="4" t="str">
        <f t="shared" si="11"/>
        <v>DATA</v>
      </c>
      <c r="C125" s="4" t="str">
        <f>VLOOKUP($A125,Questions!$A$3:$L$333,2,0)&amp;""</f>
        <v>Do you have a media handling process that is documented and currently implemented that meets established business needs and regulatory requirements, including end-of-life, repurposing, and data-sanitization procedures?</v>
      </c>
      <c r="D125" s="4" t="str">
        <f>VLOOKUP($A125,Questions!$A$3:$L$333,11,0)&amp;""</f>
        <v/>
      </c>
      <c r="E125" s="4" t="str">
        <f>VLOOKUP($A125,Questions!$A$3:$L$333,12,0)&amp;""</f>
        <v>Product</v>
      </c>
      <c r="F125" s="4" t="str">
        <f>VLOOKUP($A125,'Institution Evaluation'!$A$56:$K$345,3,0)&amp;""</f>
        <v>Yes</v>
      </c>
      <c r="G125" s="4" t="str">
        <f>VLOOKUP($A125,'Institution Evaluation'!$A$56:$K$345,7,0)&amp;""</f>
        <v>Yes</v>
      </c>
      <c r="H125" s="4" t="str">
        <f>VLOOKUP($A125,'Institution Evaluation'!$A$56:$K$345,8,0)&amp;""</f>
        <v/>
      </c>
      <c r="I125" s="4" t="str">
        <f>VLOOKUP($A125,'Institution Evaluation'!$A$56:$K$345,9,0)&amp;""</f>
        <v>Standard Importance</v>
      </c>
      <c r="J125" s="4" t="str">
        <f>VLOOKUP($A125,'Institution Evaluation'!$A$56:$K$345,10,0)&amp;""</f>
        <v/>
      </c>
      <c r="K125" s="4">
        <f>IF($I125='Auto Responses'!$J$11,20,IF($I125='Auto Responses'!$J$13,5,10))</f>
        <v>10</v>
      </c>
      <c r="L125" s="107">
        <f>IF($E125='Auto Responses'!$L$13, 'Auto Responses'!$J$5,IF(AND($D125='Auto Responses'!$J$27,$H125=""),'Auto Responses'!$J$5,IF(AND($D125='Auto Responses'!$J$27,$H125='Auto Responses'!$J$7),1,IF(AND($D125='Auto Responses'!$J$27,$H125='Auto Responses'!$J$8),0,IF(OR(AND($F125=$G125,$H125=""),$H125='Auto Responses'!$J$7),1,0)))))</f>
        <v>1</v>
      </c>
      <c r="M125" s="4" t="str">
        <f>VLOOKUP($A125,'Institution Evaluation'!$A$56:$K$345,11,0)&amp;""</f>
        <v>FALSE</v>
      </c>
      <c r="N125" s="4">
        <f>IF($J125='Auto Responses'!$J$11,1,IF(AND($J125="",$I125='Auto Responses'!$J$11),1,0))</f>
        <v>0</v>
      </c>
      <c r="O125" s="107">
        <f>IF(OR($F$17='Auto Responses'!$J$4,$E125='Auto Responses'!$L$13,$F125='Auto Responses'!$J$5),'Auto Responses'!$J$5,IF($J125="",$K125,IF($J125='Auto Responses'!$J$13,5,IF($J125='Auto Responses'!$J$12,10,IF($J125='Auto Responses'!$J$11,20,0)))))</f>
        <v>10</v>
      </c>
      <c r="P125" s="107">
        <f>IF(OR($O125='Auto Responses'!$J$5,$L125='Auto Responses'!$J$5),'Auto Responses'!$J$5,$O125*$L125)</f>
        <v>10</v>
      </c>
      <c r="Q125" s="107">
        <f t="shared" si="7"/>
        <v>0</v>
      </c>
      <c r="R125" s="107">
        <f t="shared" si="12"/>
        <v>0</v>
      </c>
      <c r="S125" s="107">
        <f t="shared" si="8"/>
        <v>0</v>
      </c>
      <c r="T125" s="107">
        <f t="shared" si="9"/>
        <v>0</v>
      </c>
      <c r="U125" s="107">
        <f t="shared" si="13"/>
        <v>42</v>
      </c>
      <c r="V125" s="107">
        <f t="shared" si="10"/>
        <v>0</v>
      </c>
    </row>
    <row r="126" spans="1:22" ht="55.2" x14ac:dyDescent="0.3">
      <c r="A126" s="4" t="str">
        <f>Questions!$A127</f>
        <v>DATA-16</v>
      </c>
      <c r="B126" s="4" t="str">
        <f t="shared" si="11"/>
        <v>DATA</v>
      </c>
      <c r="C126" s="4" t="str">
        <f>VLOOKUP($A126,Questions!$A$3:$L$333,2,0)&amp;""</f>
        <v>Does the process described in DATA-15 adhere to DoD 5220.22-M and/or NIST SP 800-88 standards?</v>
      </c>
      <c r="D126" s="4" t="str">
        <f>VLOOKUP($A126,Questions!$A$3:$L$333,11,0)&amp;""</f>
        <v/>
      </c>
      <c r="E126" s="4" t="str">
        <f>VLOOKUP($A126,Questions!$A$3:$L$333,12,0)&amp;""</f>
        <v>Product</v>
      </c>
      <c r="F126" s="4" t="str">
        <f>VLOOKUP($A126,'Institution Evaluation'!$A$56:$K$345,3,0)&amp;""</f>
        <v>Yes</v>
      </c>
      <c r="G126" s="4" t="str">
        <f>VLOOKUP($A126,'Institution Evaluation'!$A$56:$K$345,7,0)&amp;""</f>
        <v>Yes</v>
      </c>
      <c r="H126" s="4" t="str">
        <f>VLOOKUP($A126,'Institution Evaluation'!$A$56:$K$345,8,0)&amp;""</f>
        <v/>
      </c>
      <c r="I126" s="4" t="str">
        <f>VLOOKUP($A126,'Institution Evaluation'!$A$56:$K$345,9,0)&amp;""</f>
        <v>Standard Importance</v>
      </c>
      <c r="J126" s="4" t="str">
        <f>VLOOKUP($A126,'Institution Evaluation'!$A$56:$K$345,10,0)&amp;""</f>
        <v/>
      </c>
      <c r="K126" s="4">
        <f>IF($I126='Auto Responses'!$J$11,20,IF($I126='Auto Responses'!$J$13,5,10))</f>
        <v>10</v>
      </c>
      <c r="L126" s="107">
        <f>IF($E126='Auto Responses'!$L$13, 'Auto Responses'!$J$5,IF(AND($D126='Auto Responses'!$J$27,$H126=""),'Auto Responses'!$J$5,IF(AND($D126='Auto Responses'!$J$27,$H126='Auto Responses'!$J$7),1,IF(AND($D126='Auto Responses'!$J$27,$H126='Auto Responses'!$J$8),0,IF(OR(AND($F126=$G126,$H126=""),$H126='Auto Responses'!$J$7),1,0)))))</f>
        <v>1</v>
      </c>
      <c r="M126" s="4" t="str">
        <f>VLOOKUP($A126,'Institution Evaluation'!$A$56:$K$345,11,0)&amp;""</f>
        <v>FALSE</v>
      </c>
      <c r="N126" s="4">
        <f>IF($J126='Auto Responses'!$J$11,1,IF(AND($J126="",$I126='Auto Responses'!$J$11),1,0))</f>
        <v>0</v>
      </c>
      <c r="O126" s="107">
        <f>IF(OR($F$17='Auto Responses'!$J$4,$E126='Auto Responses'!$L$13,$F126='Auto Responses'!$J$5),'Auto Responses'!$J$5,IF($J126="",$K126,IF($J126='Auto Responses'!$J$13,5,IF($J126='Auto Responses'!$J$12,10,IF($J126='Auto Responses'!$J$11,20,0)))))</f>
        <v>10</v>
      </c>
      <c r="P126" s="107">
        <f>IF(OR($O126='Auto Responses'!$J$5,$L126='Auto Responses'!$J$5),'Auto Responses'!$J$5,$O126*$L126)</f>
        <v>10</v>
      </c>
      <c r="Q126" s="107">
        <f t="shared" si="7"/>
        <v>0</v>
      </c>
      <c r="R126" s="107">
        <f t="shared" si="12"/>
        <v>0</v>
      </c>
      <c r="S126" s="107">
        <f t="shared" si="8"/>
        <v>0</v>
      </c>
      <c r="T126" s="107">
        <f t="shared" si="9"/>
        <v>0</v>
      </c>
      <c r="U126" s="107">
        <f t="shared" si="13"/>
        <v>42</v>
      </c>
      <c r="V126" s="107">
        <f t="shared" si="10"/>
        <v>0</v>
      </c>
    </row>
    <row r="127" spans="1:22" ht="55.2" x14ac:dyDescent="0.3">
      <c r="A127" s="4" t="str">
        <f>Questions!$A128</f>
        <v>DATA-17</v>
      </c>
      <c r="B127" s="4" t="str">
        <f t="shared" si="11"/>
        <v>DATA</v>
      </c>
      <c r="C127" s="4" t="str">
        <f>VLOOKUP($A127,Questions!$A$3:$L$333,2,0)&amp;""</f>
        <v>Does your staff (or third party) have access to institutional data (e.g., financial, PHI, or other sensitive information) through any means?</v>
      </c>
      <c r="D127" s="4" t="str">
        <f>VLOOKUP($A127,Questions!$A$3:$L$333,11,0)&amp;""</f>
        <v/>
      </c>
      <c r="E127" s="4" t="str">
        <f>VLOOKUP($A127,Questions!$A$3:$L$333,12,0)&amp;""</f>
        <v>Product</v>
      </c>
      <c r="F127" s="4" t="str">
        <f>VLOOKUP($A127,'Institution Evaluation'!$A$56:$K$345,3,0)&amp;""</f>
        <v>No</v>
      </c>
      <c r="G127" s="4" t="str">
        <f>VLOOKUP($A127,'Institution Evaluation'!$A$56:$K$345,7,0)&amp;""</f>
        <v>No</v>
      </c>
      <c r="H127" s="4" t="str">
        <f>VLOOKUP($A127,'Institution Evaluation'!$A$56:$K$345,8,0)&amp;""</f>
        <v/>
      </c>
      <c r="I127" s="4" t="str">
        <f>VLOOKUP($A127,'Institution Evaluation'!$A$56:$K$345,9,0)&amp;""</f>
        <v>Standard Importance</v>
      </c>
      <c r="J127" s="4" t="str">
        <f>VLOOKUP($A127,'Institution Evaluation'!$A$56:$K$345,10,0)&amp;""</f>
        <v/>
      </c>
      <c r="K127" s="4">
        <f>IF($I127='Auto Responses'!$J$11,20,IF($I127='Auto Responses'!$J$13,5,10))</f>
        <v>10</v>
      </c>
      <c r="L127" s="107">
        <f>IF($E127='Auto Responses'!$L$13, 'Auto Responses'!$J$5,IF(AND($D127='Auto Responses'!$J$27,$H127=""),'Auto Responses'!$J$5,IF(AND($D127='Auto Responses'!$J$27,$H127='Auto Responses'!$J$7),1,IF(AND($D127='Auto Responses'!$J$27,$H127='Auto Responses'!$J$8),0,IF(OR(AND($F127=$G127,$H127=""),$H127='Auto Responses'!$J$7),1,0)))))</f>
        <v>1</v>
      </c>
      <c r="M127" s="4" t="str">
        <f>VLOOKUP($A127,'Institution Evaluation'!$A$56:$K$345,11,0)&amp;""</f>
        <v>FALSE</v>
      </c>
      <c r="N127" s="4">
        <f>IF($J127='Auto Responses'!$J$11,1,IF(AND($J127="",$I127='Auto Responses'!$J$11),1,0))</f>
        <v>0</v>
      </c>
      <c r="O127" s="107">
        <f>IF(OR($F$17='Auto Responses'!$J$4,$E127='Auto Responses'!$L$13,$F127='Auto Responses'!$J$5),'Auto Responses'!$J$5,IF($J127="",$K127,IF($J127='Auto Responses'!$J$13,5,IF($J127='Auto Responses'!$J$12,10,IF($J127='Auto Responses'!$J$11,20,0)))))</f>
        <v>10</v>
      </c>
      <c r="P127" s="107">
        <f>IF(OR($O127='Auto Responses'!$J$5,$L127='Auto Responses'!$J$5),'Auto Responses'!$J$5,$O127*$L127)</f>
        <v>10</v>
      </c>
      <c r="Q127" s="107">
        <f t="shared" si="7"/>
        <v>0</v>
      </c>
      <c r="R127" s="107">
        <f t="shared" si="12"/>
        <v>0</v>
      </c>
      <c r="S127" s="107">
        <f t="shared" si="8"/>
        <v>0</v>
      </c>
      <c r="T127" s="107">
        <f t="shared" si="9"/>
        <v>0</v>
      </c>
      <c r="U127" s="107">
        <f t="shared" si="13"/>
        <v>42</v>
      </c>
      <c r="V127" s="107">
        <f t="shared" si="10"/>
        <v>0</v>
      </c>
    </row>
    <row r="128" spans="1:22" ht="55.2" x14ac:dyDescent="0.3">
      <c r="A128" s="4" t="str">
        <f>Questions!$A129</f>
        <v>DATA-18</v>
      </c>
      <c r="B128" s="4" t="str">
        <f t="shared" si="11"/>
        <v>DATA</v>
      </c>
      <c r="C128" s="4" t="str">
        <f>VLOOKUP($A128,Questions!$A$3:$L$333,2,0)&amp;""</f>
        <v>Do you have a documented and currently implemented strategy for securing employee workstations when they work remotely (i.e., not in a trusted computing environment)?</v>
      </c>
      <c r="D128" s="4" t="str">
        <f>VLOOKUP($A128,Questions!$A$3:$L$333,11,0)&amp;""</f>
        <v/>
      </c>
      <c r="E128" s="4" t="str">
        <f>VLOOKUP($A128,Questions!$A$3:$L$333,12,0)&amp;""</f>
        <v>Product</v>
      </c>
      <c r="F128" s="4" t="str">
        <f>VLOOKUP($A128,'Institution Evaluation'!$A$56:$K$345,3,0)&amp;""</f>
        <v>Yes</v>
      </c>
      <c r="G128" s="4" t="str">
        <f>VLOOKUP($A128,'Institution Evaluation'!$A$56:$K$345,7,0)&amp;""</f>
        <v>Yes</v>
      </c>
      <c r="H128" s="4" t="str">
        <f>VLOOKUP($A128,'Institution Evaluation'!$A$56:$K$345,8,0)&amp;""</f>
        <v/>
      </c>
      <c r="I128" s="4" t="str">
        <f>VLOOKUP($A128,'Institution Evaluation'!$A$56:$K$345,9,0)&amp;""</f>
        <v>Standard Importance</v>
      </c>
      <c r="J128" s="4" t="str">
        <f>VLOOKUP($A128,'Institution Evaluation'!$A$56:$K$345,10,0)&amp;""</f>
        <v/>
      </c>
      <c r="K128" s="4">
        <f>IF($I128='Auto Responses'!$J$11,20,IF($I128='Auto Responses'!$J$13,5,10))</f>
        <v>10</v>
      </c>
      <c r="L128" s="107">
        <f>IF($E128='Auto Responses'!$L$13, 'Auto Responses'!$J$5,IF(AND($D128='Auto Responses'!$J$27,$H128=""),'Auto Responses'!$J$5,IF(AND($D128='Auto Responses'!$J$27,$H128='Auto Responses'!$J$7),1,IF(AND($D128='Auto Responses'!$J$27,$H128='Auto Responses'!$J$8),0,IF(OR(AND($F128=$G128,$H128=""),$H128='Auto Responses'!$J$7),1,0)))))</f>
        <v>1</v>
      </c>
      <c r="M128" s="4" t="str">
        <f>VLOOKUP($A128,'Institution Evaluation'!$A$56:$K$345,11,0)&amp;""</f>
        <v>FALSE</v>
      </c>
      <c r="N128" s="4">
        <f>IF($J128='Auto Responses'!$J$11,1,IF(AND($J128="",$I128='Auto Responses'!$J$11),1,0))</f>
        <v>0</v>
      </c>
      <c r="O128" s="107">
        <f>IF(OR($F$17='Auto Responses'!$J$4,$E128='Auto Responses'!$L$13,$F128='Auto Responses'!$J$5),'Auto Responses'!$J$5,IF($J128="",$K128,IF($J128='Auto Responses'!$J$13,5,IF($J128='Auto Responses'!$J$12,10,IF($J128='Auto Responses'!$J$11,20,0)))))</f>
        <v>10</v>
      </c>
      <c r="P128" s="107">
        <f>IF(OR($O128='Auto Responses'!$J$5,$L128='Auto Responses'!$J$5),'Auto Responses'!$J$5,$O128*$L128)</f>
        <v>10</v>
      </c>
      <c r="Q128" s="107">
        <f t="shared" si="7"/>
        <v>0</v>
      </c>
      <c r="R128" s="107">
        <f t="shared" si="12"/>
        <v>0</v>
      </c>
      <c r="S128" s="107">
        <f t="shared" si="8"/>
        <v>0</v>
      </c>
      <c r="T128" s="107">
        <f t="shared" si="9"/>
        <v>0</v>
      </c>
      <c r="U128" s="107">
        <f t="shared" si="13"/>
        <v>42</v>
      </c>
      <c r="V128" s="107">
        <f t="shared" si="10"/>
        <v>0</v>
      </c>
    </row>
    <row r="129" spans="1:22" ht="69" x14ac:dyDescent="0.3">
      <c r="A129" s="4" t="str">
        <f>Questions!$A130</f>
        <v>DATA-19</v>
      </c>
      <c r="B129" s="4" t="str">
        <f t="shared" si="11"/>
        <v>DATA</v>
      </c>
      <c r="C129" s="4" t="str">
        <f>VLOOKUP($A129,Questions!$A$3:$L$333,2,0)&amp;""</f>
        <v>Does the environment provide for dedicated single-tenant capabilities? If not, describe how your solution or environment separates data from different customers (e.g., logically, physically, single tenancy, multi-tenancy).</v>
      </c>
      <c r="D129" s="4" t="str">
        <f>VLOOKUP($A129,Questions!$A$3:$L$333,11,0)&amp;""</f>
        <v/>
      </c>
      <c r="E129" s="4" t="str">
        <f>VLOOKUP($A129,Questions!$A$3:$L$333,12,0)&amp;""</f>
        <v>Product</v>
      </c>
      <c r="F129" s="4" t="str">
        <f>VLOOKUP($A129,'Institution Evaluation'!$A$56:$K$345,3,0)&amp;""</f>
        <v>Yes</v>
      </c>
      <c r="G129" s="4" t="str">
        <f>VLOOKUP($A129,'Institution Evaluation'!$A$56:$K$345,7,0)&amp;""</f>
        <v>Yes</v>
      </c>
      <c r="H129" s="4" t="str">
        <f>VLOOKUP($A129,'Institution Evaluation'!$A$56:$K$345,8,0)&amp;""</f>
        <v/>
      </c>
      <c r="I129" s="4" t="str">
        <f>VLOOKUP($A129,'Institution Evaluation'!$A$56:$K$345,9,0)&amp;""</f>
        <v>Minor Importance</v>
      </c>
      <c r="J129" s="4" t="str">
        <f>VLOOKUP($A129,'Institution Evaluation'!$A$56:$K$345,10,0)&amp;""</f>
        <v/>
      </c>
      <c r="K129" s="4">
        <f>IF($I129='Auto Responses'!$J$11,20,IF($I129='Auto Responses'!$J$13,5,10))</f>
        <v>5</v>
      </c>
      <c r="L129" s="107">
        <f>IF($E129='Auto Responses'!$L$13, 'Auto Responses'!$J$5,IF(AND($D129='Auto Responses'!$J$27,$H129=""),'Auto Responses'!$J$5,IF(AND($D129='Auto Responses'!$J$27,$H129='Auto Responses'!$J$7),1,IF(AND($D129='Auto Responses'!$J$27,$H129='Auto Responses'!$J$8),0,IF(OR(AND($F129=$G129,$H129=""),$H129='Auto Responses'!$J$7),1,0)))))</f>
        <v>1</v>
      </c>
      <c r="M129" s="4" t="str">
        <f>VLOOKUP($A129,'Institution Evaluation'!$A$56:$K$345,11,0)&amp;""</f>
        <v>FALSE</v>
      </c>
      <c r="N129" s="4">
        <f>IF($J129='Auto Responses'!$J$11,1,IF(AND($J129="",$I129='Auto Responses'!$J$11),1,0))</f>
        <v>0</v>
      </c>
      <c r="O129" s="107">
        <f>IF(OR($F$17='Auto Responses'!$J$4,$E129='Auto Responses'!$L$13,$F129='Auto Responses'!$J$5),'Auto Responses'!$J$5,IF($J129="",$K129,IF($J129='Auto Responses'!$J$13,5,IF($J129='Auto Responses'!$J$12,10,IF($J129='Auto Responses'!$J$11,20,0)))))</f>
        <v>5</v>
      </c>
      <c r="P129" s="107">
        <f>IF(OR($O129='Auto Responses'!$J$5,$L129='Auto Responses'!$J$5),'Auto Responses'!$J$5,$O129*$L129)</f>
        <v>5</v>
      </c>
      <c r="Q129" s="107">
        <f t="shared" si="7"/>
        <v>0</v>
      </c>
      <c r="R129" s="107">
        <f t="shared" si="12"/>
        <v>0</v>
      </c>
      <c r="S129" s="107">
        <f t="shared" si="8"/>
        <v>0</v>
      </c>
      <c r="T129" s="107">
        <f t="shared" si="9"/>
        <v>0</v>
      </c>
      <c r="U129" s="107">
        <f t="shared" si="13"/>
        <v>42</v>
      </c>
      <c r="V129" s="107">
        <f t="shared" si="10"/>
        <v>0</v>
      </c>
    </row>
    <row r="130" spans="1:22" ht="55.2" x14ac:dyDescent="0.3">
      <c r="A130" s="4" t="str">
        <f>Questions!$A131</f>
        <v>DATA-20</v>
      </c>
      <c r="B130" s="4" t="str">
        <f t="shared" si="11"/>
        <v>DATA</v>
      </c>
      <c r="C130" s="4" t="str">
        <f>VLOOKUP($A130,Questions!$A$3:$L$333,2,0)&amp;""</f>
        <v>Are ownership rights to all data, inputs, outputs, and metadata retained by the institution?</v>
      </c>
      <c r="D130" s="4" t="str">
        <f>VLOOKUP($A130,Questions!$A$3:$L$333,11,0)&amp;""</f>
        <v/>
      </c>
      <c r="E130" s="4" t="str">
        <f>VLOOKUP($A130,Questions!$A$3:$L$333,12,0)&amp;""</f>
        <v>Product</v>
      </c>
      <c r="F130" s="4" t="str">
        <f>VLOOKUP($A130,'Institution Evaluation'!$A$56:$K$345,3,0)&amp;""</f>
        <v>Yes</v>
      </c>
      <c r="G130" s="4" t="str">
        <f>VLOOKUP($A130,'Institution Evaluation'!$A$56:$K$345,7,0)&amp;""</f>
        <v>Yes</v>
      </c>
      <c r="H130" s="4" t="str">
        <f>VLOOKUP($A130,'Institution Evaluation'!$A$56:$K$345,8,0)&amp;""</f>
        <v/>
      </c>
      <c r="I130" s="4" t="str">
        <f>VLOOKUP($A130,'Institution Evaluation'!$A$56:$K$345,9,0)&amp;""</f>
        <v>Minor Importance</v>
      </c>
      <c r="J130" s="4" t="str">
        <f>VLOOKUP($A130,'Institution Evaluation'!$A$56:$K$345,10,0)&amp;""</f>
        <v/>
      </c>
      <c r="K130" s="4">
        <f>IF($I130='Auto Responses'!$J$11,20,IF($I130='Auto Responses'!$J$13,5,10))</f>
        <v>5</v>
      </c>
      <c r="L130" s="107">
        <f>IF($E130='Auto Responses'!$L$13, 'Auto Responses'!$J$5,IF(AND($D130='Auto Responses'!$J$27,$H130=""),'Auto Responses'!$J$5,IF(AND($D130='Auto Responses'!$J$27,$H130='Auto Responses'!$J$7),1,IF(AND($D130='Auto Responses'!$J$27,$H130='Auto Responses'!$J$8),0,IF(OR(AND($F130=$G130,$H130=""),$H130='Auto Responses'!$J$7),1,0)))))</f>
        <v>1</v>
      </c>
      <c r="M130" s="4" t="str">
        <f>VLOOKUP($A130,'Institution Evaluation'!$A$56:$K$345,11,0)&amp;""</f>
        <v>FALSE</v>
      </c>
      <c r="N130" s="4">
        <f>IF($J130='Auto Responses'!$J$11,1,IF(AND($J130="",$I130='Auto Responses'!$J$11),1,0))</f>
        <v>0</v>
      </c>
      <c r="O130" s="107">
        <f>IF(OR($F$17='Auto Responses'!$J$4,$E130='Auto Responses'!$L$13,$F130='Auto Responses'!$J$5),'Auto Responses'!$J$5,IF($J130="",$K130,IF($J130='Auto Responses'!$J$13,5,IF($J130='Auto Responses'!$J$12,10,IF($J130='Auto Responses'!$J$11,20,0)))))</f>
        <v>5</v>
      </c>
      <c r="P130" s="107">
        <f>IF(OR($O130='Auto Responses'!$J$5,$L130='Auto Responses'!$J$5),'Auto Responses'!$J$5,$O130*$L130)</f>
        <v>5</v>
      </c>
      <c r="Q130" s="107">
        <f t="shared" ref="Q130:Q189" si="14">IF(M130="TRUE",1,0)</f>
        <v>0</v>
      </c>
      <c r="R130" s="107">
        <f t="shared" si="12"/>
        <v>0</v>
      </c>
      <c r="S130" s="107">
        <f t="shared" ref="S130:S189" si="15">IF(Q130=0,0,R130)</f>
        <v>0</v>
      </c>
      <c r="T130" s="107">
        <f t="shared" ref="T130:T189" si="16">IF(N130=1,1,0)</f>
        <v>0</v>
      </c>
      <c r="U130" s="107">
        <f t="shared" si="13"/>
        <v>42</v>
      </c>
      <c r="V130" s="107">
        <f t="shared" ref="V130:V189" si="17">IF(T130=0,0,U130)</f>
        <v>0</v>
      </c>
    </row>
    <row r="131" spans="1:22" ht="55.2" x14ac:dyDescent="0.3">
      <c r="A131" s="4" t="str">
        <f>Questions!$A132</f>
        <v>DATA-21</v>
      </c>
      <c r="B131" s="4" t="str">
        <f t="shared" ref="B131:B190" si="18">LEFT(A131,4)</f>
        <v>DATA</v>
      </c>
      <c r="C131" s="4" t="str">
        <f>VLOOKUP($A131,Questions!$A$3:$L$333,2,0)&amp;""</f>
        <v>In the event of imminent bankruptcy, closing of business, or retirement of service, will you provide 90 days for customers to get their data out of the system and migrate applications?</v>
      </c>
      <c r="D131" s="4" t="str">
        <f>VLOOKUP($A131,Questions!$A$3:$L$333,11,0)&amp;""</f>
        <v/>
      </c>
      <c r="E131" s="4" t="str">
        <f>VLOOKUP($A131,Questions!$A$3:$L$333,12,0)&amp;""</f>
        <v>Product</v>
      </c>
      <c r="F131" s="4" t="str">
        <f>VLOOKUP($A131,'Institution Evaluation'!$A$56:$K$345,3,0)&amp;""</f>
        <v>Yes</v>
      </c>
      <c r="G131" s="4" t="str">
        <f>VLOOKUP($A131,'Institution Evaluation'!$A$56:$K$345,7,0)&amp;""</f>
        <v>Yes</v>
      </c>
      <c r="H131" s="4" t="str">
        <f>VLOOKUP($A131,'Institution Evaluation'!$A$56:$K$345,8,0)&amp;""</f>
        <v/>
      </c>
      <c r="I131" s="4" t="str">
        <f>VLOOKUP($A131,'Institution Evaluation'!$A$56:$K$345,9,0)&amp;""</f>
        <v>Minor Importance</v>
      </c>
      <c r="J131" s="4" t="str">
        <f>VLOOKUP($A131,'Institution Evaluation'!$A$56:$K$345,10,0)&amp;""</f>
        <v/>
      </c>
      <c r="K131" s="4">
        <f>IF($I131='Auto Responses'!$J$11,20,IF($I131='Auto Responses'!$J$13,5,10))</f>
        <v>5</v>
      </c>
      <c r="L131" s="107">
        <f>IF($E131='Auto Responses'!$L$13, 'Auto Responses'!$J$5,IF(AND($D131='Auto Responses'!$J$27,$H131=""),'Auto Responses'!$J$5,IF(AND($D131='Auto Responses'!$J$27,$H131='Auto Responses'!$J$7),1,IF(AND($D131='Auto Responses'!$J$27,$H131='Auto Responses'!$J$8),0,IF(OR(AND($F131=$G131,$H131=""),$H131='Auto Responses'!$J$7),1,0)))))</f>
        <v>1</v>
      </c>
      <c r="M131" s="4" t="str">
        <f>VLOOKUP($A131,'Institution Evaluation'!$A$56:$K$345,11,0)&amp;""</f>
        <v>FALSE</v>
      </c>
      <c r="N131" s="4">
        <f>IF($J131='Auto Responses'!$J$11,1,IF(AND($J131="",$I131='Auto Responses'!$J$11),1,0))</f>
        <v>0</v>
      </c>
      <c r="O131" s="107">
        <f>IF(OR($F$17='Auto Responses'!$J$4,$E131='Auto Responses'!$L$13,$F131='Auto Responses'!$J$5),'Auto Responses'!$J$5,IF($J131="",$K131,IF($J131='Auto Responses'!$J$13,5,IF($J131='Auto Responses'!$J$12,10,IF($J131='Auto Responses'!$J$11,20,0)))))</f>
        <v>5</v>
      </c>
      <c r="P131" s="107">
        <f>IF(OR($O131='Auto Responses'!$J$5,$L131='Auto Responses'!$J$5),'Auto Responses'!$J$5,$O131*$L131)</f>
        <v>5</v>
      </c>
      <c r="Q131" s="107">
        <f t="shared" si="14"/>
        <v>0</v>
      </c>
      <c r="R131" s="107">
        <f t="shared" si="12"/>
        <v>0</v>
      </c>
      <c r="S131" s="107">
        <f t="shared" si="15"/>
        <v>0</v>
      </c>
      <c r="T131" s="107">
        <f t="shared" si="16"/>
        <v>0</v>
      </c>
      <c r="U131" s="107">
        <f t="shared" si="13"/>
        <v>42</v>
      </c>
      <c r="V131" s="107">
        <f t="shared" si="17"/>
        <v>0</v>
      </c>
    </row>
    <row r="132" spans="1:22" ht="55.2" x14ac:dyDescent="0.3">
      <c r="A132" s="4" t="str">
        <f>Questions!$A133</f>
        <v>DATA-22</v>
      </c>
      <c r="B132" s="4" t="str">
        <f t="shared" si="18"/>
        <v>DATA</v>
      </c>
      <c r="C132" s="4" t="str">
        <f>VLOOKUP($A132,Questions!$A$3:$L$333,2,0)&amp;""</f>
        <v>Are involatile backup copies made according to predefined schedules and securely stored and protected?</v>
      </c>
      <c r="D132" s="4" t="str">
        <f>VLOOKUP($A132,Questions!$A$3:$L$333,11,0)&amp;""</f>
        <v/>
      </c>
      <c r="E132" s="4" t="str">
        <f>VLOOKUP($A132,Questions!$A$3:$L$333,12,0)&amp;""</f>
        <v>Product</v>
      </c>
      <c r="F132" s="4" t="str">
        <f>VLOOKUP($A132,'Institution Evaluation'!$A$56:$K$345,3,0)&amp;""</f>
        <v>Yes</v>
      </c>
      <c r="G132" s="4" t="str">
        <f>VLOOKUP($A132,'Institution Evaluation'!$A$56:$K$345,7,0)&amp;""</f>
        <v>Yes</v>
      </c>
      <c r="H132" s="4" t="str">
        <f>VLOOKUP($A132,'Institution Evaluation'!$A$56:$K$345,8,0)&amp;""</f>
        <v/>
      </c>
      <c r="I132" s="4" t="str">
        <f>VLOOKUP($A132,'Institution Evaluation'!$A$56:$K$345,9,0)&amp;""</f>
        <v>Minor Importance</v>
      </c>
      <c r="J132" s="4" t="str">
        <f>VLOOKUP($A132,'Institution Evaluation'!$A$56:$K$345,10,0)&amp;""</f>
        <v/>
      </c>
      <c r="K132" s="4">
        <f>IF($I132='Auto Responses'!$J$11,20,IF($I132='Auto Responses'!$J$13,5,10))</f>
        <v>5</v>
      </c>
      <c r="L132" s="107">
        <f>IF($E132='Auto Responses'!$L$13, 'Auto Responses'!$J$5,IF(AND($D132='Auto Responses'!$J$27,$H132=""),'Auto Responses'!$J$5,IF(AND($D132='Auto Responses'!$J$27,$H132='Auto Responses'!$J$7),1,IF(AND($D132='Auto Responses'!$J$27,$H132='Auto Responses'!$J$8),0,IF(OR(AND($F132=$G132,$H132=""),$H132='Auto Responses'!$J$7),1,0)))))</f>
        <v>1</v>
      </c>
      <c r="M132" s="4" t="str">
        <f>VLOOKUP($A132,'Institution Evaluation'!$A$56:$K$345,11,0)&amp;""</f>
        <v>FALSE</v>
      </c>
      <c r="N132" s="4">
        <f>IF($J132='Auto Responses'!$J$11,1,IF(AND($J132="",$I132='Auto Responses'!$J$11),1,0))</f>
        <v>0</v>
      </c>
      <c r="O132" s="107">
        <f>IF(OR($F$17='Auto Responses'!$J$4,$E132='Auto Responses'!$L$13,$F132='Auto Responses'!$J$5),'Auto Responses'!$J$5,IF($J132="",$K132,IF($J132='Auto Responses'!$J$13,5,IF($J132='Auto Responses'!$J$12,10,IF($J132='Auto Responses'!$J$11,20,0)))))</f>
        <v>5</v>
      </c>
      <c r="P132" s="107">
        <f>IF(OR($O132='Auto Responses'!$J$5,$L132='Auto Responses'!$J$5),'Auto Responses'!$J$5,$O132*$L132)</f>
        <v>5</v>
      </c>
      <c r="Q132" s="107">
        <f t="shared" si="14"/>
        <v>0</v>
      </c>
      <c r="R132" s="107">
        <f t="shared" si="12"/>
        <v>0</v>
      </c>
      <c r="S132" s="107">
        <f t="shared" si="15"/>
        <v>0</v>
      </c>
      <c r="T132" s="107">
        <f t="shared" si="16"/>
        <v>0</v>
      </c>
      <c r="U132" s="107">
        <f t="shared" si="13"/>
        <v>42</v>
      </c>
      <c r="V132" s="107">
        <f t="shared" si="17"/>
        <v>0</v>
      </c>
    </row>
    <row r="133" spans="1:22" ht="55.2" x14ac:dyDescent="0.3">
      <c r="A133" s="4" t="str">
        <f>Questions!$A125</f>
        <v>DATA-14</v>
      </c>
      <c r="B133" s="4" t="str">
        <f t="shared" si="18"/>
        <v>DATA</v>
      </c>
      <c r="C133" s="4" t="str">
        <f>VLOOKUP($A133,Questions!$A$3:$L$333,2,0)&amp;""</f>
        <v>Are data backups encrypted?</v>
      </c>
      <c r="D133" s="4" t="str">
        <f>VLOOKUP($A133,Questions!$A$3:$L$333,11,0)&amp;""</f>
        <v/>
      </c>
      <c r="E133" s="4" t="str">
        <f>VLOOKUP($A133,Questions!$A$3:$L$333,12,0)&amp;""</f>
        <v>Product</v>
      </c>
      <c r="F133" s="4" t="str">
        <f>VLOOKUP($A133,'Institution Evaluation'!$A$56:$K$345,3,0)&amp;""</f>
        <v>Yes</v>
      </c>
      <c r="G133" s="4" t="str">
        <f>VLOOKUP($A133,'Institution Evaluation'!$A$56:$K$345,7,0)&amp;""</f>
        <v>Yes</v>
      </c>
      <c r="H133" s="4" t="str">
        <f>VLOOKUP($A133,'Institution Evaluation'!$A$56:$K$345,8,0)&amp;""</f>
        <v/>
      </c>
      <c r="I133" s="4" t="str">
        <f>VLOOKUP($A133,'Institution Evaluation'!$A$56:$K$345,9,0)&amp;""</f>
        <v>Minor Importance</v>
      </c>
      <c r="J133" s="4" t="str">
        <f>VLOOKUP($A133,'Institution Evaluation'!$A$56:$K$345,10,0)&amp;""</f>
        <v/>
      </c>
      <c r="K133" s="4">
        <f>IF($I133='Auto Responses'!$J$11,20,IF($I133='Auto Responses'!$J$13,5,10))</f>
        <v>5</v>
      </c>
      <c r="L133" s="107">
        <f>IF($E133='Auto Responses'!$L$13, 'Auto Responses'!$J$5,IF(AND($D133='Auto Responses'!$J$27,$H133=""),'Auto Responses'!$J$5,IF(AND($D133='Auto Responses'!$J$27,$H133='Auto Responses'!$J$7),1,IF(AND($D133='Auto Responses'!$J$27,$H133='Auto Responses'!$J$8),0,IF(OR(AND($F133=$G133,$H133=""),$H133='Auto Responses'!$J$7),1,0)))))</f>
        <v>1</v>
      </c>
      <c r="M133" s="4" t="str">
        <f>VLOOKUP($A133,'Institution Evaluation'!$A$56:$K$345,11,0)&amp;""</f>
        <v>FALSE</v>
      </c>
      <c r="N133" s="4">
        <f>IF($J133='Auto Responses'!$J$11,1,IF(AND($J133="",$I133='Auto Responses'!$J$11),1,0))</f>
        <v>0</v>
      </c>
      <c r="O133" s="107">
        <f>IF(OR($F$17='Auto Responses'!$J$4,$E133='Auto Responses'!$L$13,$F133='Auto Responses'!$J$5),'Auto Responses'!$J$5,IF($J133="",$K133,IF($J133='Auto Responses'!$J$13,5,IF($J133='Auto Responses'!$J$12,10,IF($J133='Auto Responses'!$J$11,20,0)))))</f>
        <v>5</v>
      </c>
      <c r="P133" s="107">
        <f>IF(OR($O133='Auto Responses'!$J$5,$L133='Auto Responses'!$J$5),'Auto Responses'!$J$5,$O133*$L133)</f>
        <v>5</v>
      </c>
      <c r="Q133" s="107">
        <f t="shared" si="14"/>
        <v>0</v>
      </c>
      <c r="R133" s="107">
        <f t="shared" ref="R133:R196" si="19">R132+Q133</f>
        <v>0</v>
      </c>
      <c r="S133" s="107">
        <f t="shared" si="15"/>
        <v>0</v>
      </c>
      <c r="T133" s="107">
        <f t="shared" si="16"/>
        <v>0</v>
      </c>
      <c r="U133" s="107">
        <f t="shared" ref="U133:U196" si="20">U132+T133</f>
        <v>42</v>
      </c>
      <c r="V133" s="107">
        <f t="shared" si="17"/>
        <v>0</v>
      </c>
    </row>
    <row r="134" spans="1:22" ht="69" x14ac:dyDescent="0.3">
      <c r="A134" s="4" t="str">
        <f>Questions!$A134</f>
        <v>DATA-23</v>
      </c>
      <c r="B134" s="4" t="str">
        <f t="shared" si="18"/>
        <v>DATA</v>
      </c>
      <c r="C134" s="4" t="str">
        <f>VLOOKUP($A134,Questions!$A$3:$L$333,2,0)&amp;""</f>
        <v>Do you have a cryptographic key management process (generation, exchange, storage, safeguards, use, vetting, and replacement) that is documented and currently implemented, for all system components (e.g., database, system, web, etc.)?</v>
      </c>
      <c r="D134" s="4" t="str">
        <f>VLOOKUP($A134,Questions!$A$3:$L$333,11,0)&amp;""</f>
        <v/>
      </c>
      <c r="E134" s="4" t="str">
        <f>VLOOKUP($A134,Questions!$A$3:$L$333,12,0)&amp;""</f>
        <v>Product</v>
      </c>
      <c r="F134" s="4" t="str">
        <f>VLOOKUP($A134,'Institution Evaluation'!$A$56:$K$345,3,0)&amp;""</f>
        <v>Yes</v>
      </c>
      <c r="G134" s="4" t="str">
        <f>VLOOKUP($A134,'Institution Evaluation'!$A$56:$K$345,7,0)&amp;""</f>
        <v>Yes</v>
      </c>
      <c r="H134" s="4" t="str">
        <f>VLOOKUP($A134,'Institution Evaluation'!$A$56:$K$345,8,0)&amp;""</f>
        <v/>
      </c>
      <c r="I134" s="4" t="str">
        <f>VLOOKUP($A134,'Institution Evaluation'!$A$56:$K$345,9,0)&amp;""</f>
        <v>Minor Importance</v>
      </c>
      <c r="J134" s="4" t="str">
        <f>VLOOKUP($A134,'Institution Evaluation'!$A$56:$K$345,10,0)&amp;""</f>
        <v/>
      </c>
      <c r="K134" s="4">
        <f>IF($I134='Auto Responses'!$J$11,20,IF($I134='Auto Responses'!$J$13,5,10))</f>
        <v>5</v>
      </c>
      <c r="L134" s="107">
        <f>IF($E134='Auto Responses'!$L$13, 'Auto Responses'!$J$5,IF(AND($D134='Auto Responses'!$J$27,$H134=""),'Auto Responses'!$J$5,IF(AND($D134='Auto Responses'!$J$27,$H134='Auto Responses'!$J$7),1,IF(AND($D134='Auto Responses'!$J$27,$H134='Auto Responses'!$J$8),0,IF(OR(AND($F134=$G134,$H134=""),$H134='Auto Responses'!$J$7),1,0)))))</f>
        <v>1</v>
      </c>
      <c r="M134" s="4" t="str">
        <f>VLOOKUP($A134,'Institution Evaluation'!$A$56:$K$345,11,0)&amp;""</f>
        <v>FALSE</v>
      </c>
      <c r="N134" s="4">
        <f>IF($J134='Auto Responses'!$J$11,1,IF(AND($J134="",$I134='Auto Responses'!$J$11),1,0))</f>
        <v>0</v>
      </c>
      <c r="O134" s="107">
        <f>IF(OR($F$17='Auto Responses'!$J$4,$E134='Auto Responses'!$L$13,$F134='Auto Responses'!$J$5),'Auto Responses'!$J$5,IF($J134="",$K134,IF($J134='Auto Responses'!$J$13,5,IF($J134='Auto Responses'!$J$12,10,IF($J134='Auto Responses'!$J$11,20,0)))))</f>
        <v>5</v>
      </c>
      <c r="P134" s="107">
        <f>IF(OR($O134='Auto Responses'!$J$5,$L134='Auto Responses'!$J$5),'Auto Responses'!$J$5,$O134*$L134)</f>
        <v>5</v>
      </c>
      <c r="Q134" s="107">
        <f t="shared" si="14"/>
        <v>0</v>
      </c>
      <c r="R134" s="107">
        <f t="shared" si="19"/>
        <v>0</v>
      </c>
      <c r="S134" s="107">
        <f t="shared" si="15"/>
        <v>0</v>
      </c>
      <c r="T134" s="107">
        <f t="shared" si="16"/>
        <v>0</v>
      </c>
      <c r="U134" s="107">
        <f t="shared" si="20"/>
        <v>42</v>
      </c>
      <c r="V134" s="107">
        <f t="shared" si="17"/>
        <v>0</v>
      </c>
    </row>
    <row r="135" spans="1:22" ht="55.2" x14ac:dyDescent="0.3">
      <c r="A135" s="4" t="str">
        <f>Questions!$A135</f>
        <v>DCTR-01</v>
      </c>
      <c r="B135" s="4" t="str">
        <f t="shared" si="18"/>
        <v>DCTR</v>
      </c>
      <c r="C135" s="4" t="str">
        <f>VLOOKUP($A135,Questions!$A$3:$L$333,2,0)&amp;""</f>
        <v>Select your hosting option.</v>
      </c>
      <c r="D135" s="4" t="str">
        <f>VLOOKUP($A135,Questions!$A$3:$L$333,11,0)&amp;""</f>
        <v/>
      </c>
      <c r="E135" s="4" t="str">
        <f>VLOOKUP($A135,Questions!$A$3:$L$333,12,0)&amp;""</f>
        <v>Not scored</v>
      </c>
      <c r="F135" s="4" t="str">
        <f>VLOOKUP($A135,'Institution Evaluation'!$A$56:$K$345,3,0)&amp;""</f>
        <v>AWS</v>
      </c>
      <c r="G135" s="4" t="str">
        <f>VLOOKUP($A135,'Institution Evaluation'!$A$56:$K$345,7,0)&amp;""</f>
        <v>Not scored</v>
      </c>
      <c r="H135" s="4" t="str">
        <f>VLOOKUP($A135,'Institution Evaluation'!$A$56:$K$345,8,0)&amp;""</f>
        <v/>
      </c>
      <c r="I135" s="4" t="str">
        <f>VLOOKUP($A135,'Institution Evaluation'!$A$56:$K$345,9,0)&amp;""</f>
        <v/>
      </c>
      <c r="J135" s="4" t="str">
        <f>VLOOKUP($A135,'Institution Evaluation'!$A$56:$K$345,10,0)&amp;""</f>
        <v/>
      </c>
      <c r="K135" s="4">
        <f>IF($I135='Auto Responses'!$J$11,20,IF($I135='Auto Responses'!$J$13,5,10))</f>
        <v>10</v>
      </c>
      <c r="L135" s="107" t="str">
        <f>IF(OR($E135='Auto Responses'!$L$13,$F135=""),'Auto Responses'!$J$5,IF(AND($D135='Auto Responses'!$J$27,$H135=""),'Auto Responses'!$J$5,IF(AND($D135='Auto Responses'!$J$27,$H135='Auto Responses'!$J$7),1,IF(AND($D135='Auto Responses'!$J$27,$H135='Auto Responses'!$J$8),0,IF(OR(AND($F135=$G135,$H135=""),$H135='Auto Responses'!$J$7),1,0)))))</f>
        <v>N/A</v>
      </c>
      <c r="M135" s="4" t="str">
        <f>VLOOKUP($A135,'Institution Evaluation'!$A$56:$K$345,11,0)&amp;""</f>
        <v>FALSE</v>
      </c>
      <c r="N135" s="4">
        <f>IF($J135='Auto Responses'!$J$11,1,IF(AND($J135="",$I135='Auto Responses'!$J$11),1,0))</f>
        <v>0</v>
      </c>
      <c r="O135" s="107" t="str">
        <f>IF(OR($F$17='Auto Responses'!$J$4,$E135='Auto Responses'!$L$13,$F135="",$F135='Auto Responses'!$J$5),'Auto Responses'!$J$5,IF($J135="",$K135,IF($J135='Auto Responses'!$J$13,5,IF($J135='Auto Responses'!$J$12,10,IF($J135='Auto Responses'!$J$11,20,0)))))</f>
        <v>N/A</v>
      </c>
      <c r="P135" s="107" t="str">
        <f>IF(OR($O135='Auto Responses'!$J$5,$L135='Auto Responses'!$J$5),'Auto Responses'!$J$5,$O135*$L135)</f>
        <v>N/A</v>
      </c>
      <c r="Q135" s="107">
        <f t="shared" si="14"/>
        <v>0</v>
      </c>
      <c r="R135" s="107">
        <f t="shared" si="19"/>
        <v>0</v>
      </c>
      <c r="S135" s="107">
        <f t="shared" si="15"/>
        <v>0</v>
      </c>
      <c r="T135" s="107">
        <f t="shared" si="16"/>
        <v>0</v>
      </c>
      <c r="U135" s="107">
        <f t="shared" si="20"/>
        <v>42</v>
      </c>
      <c r="V135" s="107">
        <f t="shared" si="17"/>
        <v>0</v>
      </c>
    </row>
    <row r="136" spans="1:22" ht="55.2" x14ac:dyDescent="0.3">
      <c r="A136" s="4" t="str">
        <f>Questions!$A136</f>
        <v>DCTR-02</v>
      </c>
      <c r="B136" s="4" t="str">
        <f t="shared" si="18"/>
        <v>DCTR</v>
      </c>
      <c r="C136" s="4" t="str">
        <f>VLOOKUP($A136,Questions!$A$3:$L$333,2,0)&amp;""</f>
        <v>Is a SOC 2 Type 2 report available for the hosting environment?</v>
      </c>
      <c r="D136" s="4" t="str">
        <f>VLOOKUP($A136,Questions!$A$3:$L$333,11,0)&amp;""</f>
        <v/>
      </c>
      <c r="E136" s="4" t="str">
        <f>VLOOKUP($A136,Questions!$A$3:$L$333,12,0)&amp;""</f>
        <v>Infrastructure</v>
      </c>
      <c r="F136" s="4" t="str">
        <f>VLOOKUP($A136,'Institution Evaluation'!$A$56:$K$345,3,0)&amp;""</f>
        <v>Yes</v>
      </c>
      <c r="G136" s="4" t="str">
        <f>VLOOKUP($A136,'Institution Evaluation'!$A$56:$K$345,7,0)&amp;""</f>
        <v>Yes</v>
      </c>
      <c r="H136" s="4" t="str">
        <f>VLOOKUP($A136,'Institution Evaluation'!$A$56:$K$345,8,0)&amp;""</f>
        <v/>
      </c>
      <c r="I136" s="4" t="str">
        <f>VLOOKUP($A136,'Institution Evaluation'!$A$56:$K$345,9,0)&amp;""</f>
        <v>Standard Importance</v>
      </c>
      <c r="J136" s="4" t="str">
        <f>VLOOKUP($A136,'Institution Evaluation'!$A$56:$K$345,10,0)&amp;""</f>
        <v/>
      </c>
      <c r="K136" s="4">
        <f>IF($I136='Auto Responses'!$J$11,20,IF($I136='Auto Responses'!$J$13,5,10))</f>
        <v>10</v>
      </c>
      <c r="L136" s="107">
        <f>IF(OR($E136='Auto Responses'!$L$13,$F136=""),'Auto Responses'!$J$5,IF(AND($D136='Auto Responses'!$J$27,$H136=""),'Auto Responses'!$J$5,IF(AND($D136='Auto Responses'!$J$27,$H136='Auto Responses'!$J$7),1,IF(AND($D136='Auto Responses'!$J$27,$H136='Auto Responses'!$J$8),0,IF(OR(AND($F136=$G136,$H136=""),$H136='Auto Responses'!$J$7),1,0)))))</f>
        <v>1</v>
      </c>
      <c r="M136" s="4" t="str">
        <f>VLOOKUP($A136,'Institution Evaluation'!$A$56:$K$345,11,0)&amp;""</f>
        <v>FALSE</v>
      </c>
      <c r="N136" s="4">
        <f>IF($J136='Auto Responses'!$J$11,1,IF(AND($J136="",$I136='Auto Responses'!$J$11),1,0))</f>
        <v>0</v>
      </c>
      <c r="O136" s="107">
        <f>IF(OR($F$17='Auto Responses'!$J$4,$E136='Auto Responses'!$L$13,$F136="",$F136='Auto Responses'!$J$5),'Auto Responses'!$J$5,IF($J136="",$K136,IF($J136='Auto Responses'!$J$13,5,IF($J136='Auto Responses'!$J$12,10,IF($J136='Auto Responses'!$J$11,20,0)))))</f>
        <v>10</v>
      </c>
      <c r="P136" s="107">
        <f>IF(OR($O136='Auto Responses'!$J$5,$L136='Auto Responses'!$J$5),'Auto Responses'!$J$5,$O136*$L136)</f>
        <v>10</v>
      </c>
      <c r="Q136" s="107">
        <f t="shared" si="14"/>
        <v>0</v>
      </c>
      <c r="R136" s="107">
        <f t="shared" si="19"/>
        <v>0</v>
      </c>
      <c r="S136" s="107">
        <f t="shared" si="15"/>
        <v>0</v>
      </c>
      <c r="T136" s="107">
        <f t="shared" si="16"/>
        <v>0</v>
      </c>
      <c r="U136" s="107">
        <f t="shared" si="20"/>
        <v>42</v>
      </c>
      <c r="V136" s="107">
        <f t="shared" si="17"/>
        <v>0</v>
      </c>
    </row>
    <row r="137" spans="1:22" ht="55.2" x14ac:dyDescent="0.3">
      <c r="A137" s="4" t="str">
        <f>Questions!$A137</f>
        <v>DCTR-03</v>
      </c>
      <c r="B137" s="4" t="str">
        <f t="shared" si="18"/>
        <v>DCTR</v>
      </c>
      <c r="C137" s="4" t="str">
        <f>VLOOKUP($A137,Questions!$A$3:$L$333,2,0)&amp;""</f>
        <v>Are you generally able to accommodate storing each institution's data within its geographic region?</v>
      </c>
      <c r="D137" s="4" t="str">
        <f>VLOOKUP($A137,Questions!$A$3:$L$333,11,0)&amp;""</f>
        <v/>
      </c>
      <c r="E137" s="4" t="str">
        <f>VLOOKUP($A137,Questions!$A$3:$L$333,12,0)&amp;""</f>
        <v>Infrastructure</v>
      </c>
      <c r="F137" s="4" t="str">
        <f>VLOOKUP($A137,'Institution Evaluation'!$A$56:$K$345,3,0)&amp;""</f>
        <v>Yes</v>
      </c>
      <c r="G137" s="4" t="str">
        <f>VLOOKUP($A137,'Institution Evaluation'!$A$56:$K$345,7,0)&amp;""</f>
        <v>Yes</v>
      </c>
      <c r="H137" s="4" t="str">
        <f>VLOOKUP($A137,'Institution Evaluation'!$A$56:$K$345,8,0)&amp;""</f>
        <v/>
      </c>
      <c r="I137" s="4" t="str">
        <f>VLOOKUP($A137,'Institution Evaluation'!$A$56:$K$345,9,0)&amp;""</f>
        <v>Standard Importance</v>
      </c>
      <c r="J137" s="4" t="str">
        <f>VLOOKUP($A137,'Institution Evaluation'!$A$56:$K$345,10,0)&amp;""</f>
        <v/>
      </c>
      <c r="K137" s="4">
        <f>IF($I137='Auto Responses'!$J$11,20,IF($I137='Auto Responses'!$J$13,5,10))</f>
        <v>10</v>
      </c>
      <c r="L137" s="107">
        <f>IF(OR($E137='Auto Responses'!$L$13,$F137=""),'Auto Responses'!$J$5,IF(AND($D137='Auto Responses'!$J$27,$H137=""),'Auto Responses'!$J$5,IF(AND($D137='Auto Responses'!$J$27,$H137='Auto Responses'!$J$7),1,IF(AND($D137='Auto Responses'!$J$27,$H137='Auto Responses'!$J$8),0,IF(OR(AND($F137=$G137,$H137=""),$H137='Auto Responses'!$J$7),1,0)))))</f>
        <v>1</v>
      </c>
      <c r="M137" s="4" t="str">
        <f>VLOOKUP($A137,'Institution Evaluation'!$A$56:$K$345,11,0)&amp;""</f>
        <v>FALSE</v>
      </c>
      <c r="N137" s="4">
        <f>IF($J137='Auto Responses'!$J$11,1,IF(AND($J137="",$I137='Auto Responses'!$J$11),1,0))</f>
        <v>0</v>
      </c>
      <c r="O137" s="107">
        <f>IF(OR($F$17='Auto Responses'!$J$4,$E137='Auto Responses'!$L$13,$F137="",$F137='Auto Responses'!$J$5),'Auto Responses'!$J$5,IF($J137="",$K137,IF($J137='Auto Responses'!$J$13,5,IF($J137='Auto Responses'!$J$12,10,IF($J137='Auto Responses'!$J$11,20,0)))))</f>
        <v>10</v>
      </c>
      <c r="P137" s="107">
        <f>IF(OR($O137='Auto Responses'!$J$5,$L137='Auto Responses'!$J$5),'Auto Responses'!$J$5,$O137*$L137)</f>
        <v>10</v>
      </c>
      <c r="Q137" s="107">
        <f t="shared" si="14"/>
        <v>0</v>
      </c>
      <c r="R137" s="107">
        <f t="shared" si="19"/>
        <v>0</v>
      </c>
      <c r="S137" s="107">
        <f t="shared" si="15"/>
        <v>0</v>
      </c>
      <c r="T137" s="107">
        <f t="shared" si="16"/>
        <v>0</v>
      </c>
      <c r="U137" s="107">
        <f t="shared" si="20"/>
        <v>42</v>
      </c>
      <c r="V137" s="107">
        <f t="shared" si="17"/>
        <v>0</v>
      </c>
    </row>
    <row r="138" spans="1:22" ht="55.2" x14ac:dyDescent="0.3">
      <c r="A138" s="4" t="str">
        <f>Questions!$A138</f>
        <v>DCTR-04</v>
      </c>
      <c r="B138" s="4" t="str">
        <f t="shared" si="18"/>
        <v>DCTR</v>
      </c>
      <c r="C138" s="4" t="str">
        <f>VLOOKUP($A138,Questions!$A$3:$L$333,2,0)&amp;""</f>
        <v>Are the data centers staffed 24 hours a day, seven days a week (i.e., 24 x 7 x 365)?</v>
      </c>
      <c r="D138" s="4" t="str">
        <f>VLOOKUP($A138,Questions!$A$3:$L$333,11,0)&amp;""</f>
        <v/>
      </c>
      <c r="E138" s="4" t="str">
        <f>VLOOKUP($A138,Questions!$A$3:$L$333,12,0)&amp;""</f>
        <v>Infrastructure</v>
      </c>
      <c r="F138" s="4" t="str">
        <f>VLOOKUP($A138,'Institution Evaluation'!$A$56:$K$345,3,0)&amp;""</f>
        <v>Yes</v>
      </c>
      <c r="G138" s="4" t="str">
        <f>VLOOKUP($A138,'Institution Evaluation'!$A$56:$K$345,7,0)&amp;""</f>
        <v>Yes</v>
      </c>
      <c r="H138" s="4" t="str">
        <f>VLOOKUP($A138,'Institution Evaluation'!$A$56:$K$345,8,0)&amp;""</f>
        <v/>
      </c>
      <c r="I138" s="4" t="str">
        <f>VLOOKUP($A138,'Institution Evaluation'!$A$56:$K$345,9,0)&amp;""</f>
        <v>Standard Importance</v>
      </c>
      <c r="J138" s="4" t="str">
        <f>VLOOKUP($A138,'Institution Evaluation'!$A$56:$K$345,10,0)&amp;""</f>
        <v/>
      </c>
      <c r="K138" s="4">
        <f>IF($I138='Auto Responses'!$J$11,20,IF($I138='Auto Responses'!$J$13,5,10))</f>
        <v>10</v>
      </c>
      <c r="L138" s="107">
        <f>IF(OR($E138='Auto Responses'!$L$13,$F138=""),'Auto Responses'!$J$5,IF(AND($D138='Auto Responses'!$J$27,$H138=""),'Auto Responses'!$J$5,IF(AND($D138='Auto Responses'!$J$27,$H138='Auto Responses'!$J$7),1,IF(AND($D138='Auto Responses'!$J$27,$H138='Auto Responses'!$J$8),0,IF(OR(AND($F138=$G138,$H138=""),$H138='Auto Responses'!$J$7),1,0)))))</f>
        <v>1</v>
      </c>
      <c r="M138" s="4" t="str">
        <f>VLOOKUP($A138,'Institution Evaluation'!$A$56:$K$345,11,0)&amp;""</f>
        <v>FALSE</v>
      </c>
      <c r="N138" s="4">
        <f>IF($J138='Auto Responses'!$J$11,1,IF(AND($J138="",$I138='Auto Responses'!$J$11),1,0))</f>
        <v>0</v>
      </c>
      <c r="O138" s="107">
        <f>IF(OR($F$17='Auto Responses'!$J$4,$E138='Auto Responses'!$L$13,$F138="",$F138='Auto Responses'!$J$5),'Auto Responses'!$J$5,IF($J138="",$K138,IF($J138='Auto Responses'!$J$13,5,IF($J138='Auto Responses'!$J$12,10,IF($J138='Auto Responses'!$J$11,20,0)))))</f>
        <v>10</v>
      </c>
      <c r="P138" s="107">
        <f>IF(OR($O138='Auto Responses'!$J$5,$L138='Auto Responses'!$J$5),'Auto Responses'!$J$5,$O138*$L138)</f>
        <v>10</v>
      </c>
      <c r="Q138" s="107">
        <f t="shared" si="14"/>
        <v>0</v>
      </c>
      <c r="R138" s="107">
        <f t="shared" si="19"/>
        <v>0</v>
      </c>
      <c r="S138" s="107">
        <f t="shared" si="15"/>
        <v>0</v>
      </c>
      <c r="T138" s="107">
        <f t="shared" si="16"/>
        <v>0</v>
      </c>
      <c r="U138" s="107">
        <f t="shared" si="20"/>
        <v>42</v>
      </c>
      <c r="V138" s="107">
        <f t="shared" si="17"/>
        <v>0</v>
      </c>
    </row>
    <row r="139" spans="1:22" ht="55.2" x14ac:dyDescent="0.3">
      <c r="A139" s="4" t="str">
        <f>Questions!$A139</f>
        <v>DCTR-05</v>
      </c>
      <c r="B139" s="4" t="str">
        <f t="shared" si="18"/>
        <v>DCTR</v>
      </c>
      <c r="C139" s="4" t="str">
        <f>VLOOKUP($A139,Questions!$A$3:$L$333,2,0)&amp;""</f>
        <v>Are your servers separated from other companies via a physical barrier, such as a cage or hard walls?</v>
      </c>
      <c r="D139" s="4" t="str">
        <f>VLOOKUP($A139,Questions!$A$3:$L$333,11,0)&amp;""</f>
        <v/>
      </c>
      <c r="E139" s="4" t="str">
        <f>VLOOKUP($A139,Questions!$A$3:$L$333,12,0)&amp;""</f>
        <v>Infrastructure</v>
      </c>
      <c r="F139" s="4" t="str">
        <f>VLOOKUP($A139,'Institution Evaluation'!$A$56:$K$345,3,0)&amp;""</f>
        <v>Yes</v>
      </c>
      <c r="G139" s="4" t="str">
        <f>VLOOKUP($A139,'Institution Evaluation'!$A$56:$K$345,7,0)&amp;""</f>
        <v>Yes</v>
      </c>
      <c r="H139" s="4" t="str">
        <f>VLOOKUP($A139,'Institution Evaluation'!$A$56:$K$345,8,0)&amp;""</f>
        <v/>
      </c>
      <c r="I139" s="4" t="str">
        <f>VLOOKUP($A139,'Institution Evaluation'!$A$56:$K$345,9,0)&amp;""</f>
        <v>Standard Importance</v>
      </c>
      <c r="J139" s="4" t="str">
        <f>VLOOKUP($A139,'Institution Evaluation'!$A$56:$K$345,10,0)&amp;""</f>
        <v/>
      </c>
      <c r="K139" s="4">
        <f>IF($I139='Auto Responses'!$J$11,20,IF($I139='Auto Responses'!$J$13,5,10))</f>
        <v>10</v>
      </c>
      <c r="L139" s="107">
        <f>IF(OR($E139='Auto Responses'!$L$13,$F139=""),'Auto Responses'!$J$5,IF(AND($D139='Auto Responses'!$J$27,$H139=""),'Auto Responses'!$J$5,IF(AND($D139='Auto Responses'!$J$27,$H139='Auto Responses'!$J$7),1,IF(AND($D139='Auto Responses'!$J$27,$H139='Auto Responses'!$J$8),0,IF(OR(AND($F139=$G139,$H139=""),$H139='Auto Responses'!$J$7),1,0)))))</f>
        <v>1</v>
      </c>
      <c r="M139" s="4" t="str">
        <f>VLOOKUP($A139,'Institution Evaluation'!$A$56:$K$345,11,0)&amp;""</f>
        <v>FALSE</v>
      </c>
      <c r="N139" s="4">
        <f>IF($J139='Auto Responses'!$J$11,1,IF(AND($J139="",$I139='Auto Responses'!$J$11),1,0))</f>
        <v>0</v>
      </c>
      <c r="O139" s="107">
        <f>IF(OR($F$17='Auto Responses'!$J$4,$E139='Auto Responses'!$L$13,$F139="",$F139='Auto Responses'!$J$5),'Auto Responses'!$J$5,IF($J139="",$K139,IF($J139='Auto Responses'!$J$13,5,IF($J139='Auto Responses'!$J$12,10,IF($J139='Auto Responses'!$J$11,20,0)))))</f>
        <v>10</v>
      </c>
      <c r="P139" s="107">
        <f>IF(OR($O139='Auto Responses'!$J$5,$L139='Auto Responses'!$J$5),'Auto Responses'!$J$5,$O139*$L139)</f>
        <v>10</v>
      </c>
      <c r="Q139" s="107">
        <f t="shared" si="14"/>
        <v>0</v>
      </c>
      <c r="R139" s="107">
        <f t="shared" si="19"/>
        <v>0</v>
      </c>
      <c r="S139" s="107">
        <f t="shared" si="15"/>
        <v>0</v>
      </c>
      <c r="T139" s="107">
        <f t="shared" si="16"/>
        <v>0</v>
      </c>
      <c r="U139" s="107">
        <f t="shared" si="20"/>
        <v>42</v>
      </c>
      <c r="V139" s="107">
        <f t="shared" si="17"/>
        <v>0</v>
      </c>
    </row>
    <row r="140" spans="1:22" ht="55.2" x14ac:dyDescent="0.3">
      <c r="A140" s="4" t="str">
        <f>Questions!$A140</f>
        <v>DCTR-06</v>
      </c>
      <c r="B140" s="4" t="str">
        <f t="shared" si="18"/>
        <v>DCTR</v>
      </c>
      <c r="C140" s="4" t="str">
        <f>VLOOKUP($A140,Questions!$A$3:$L$333,2,0)&amp;""</f>
        <v>Does a physical barrier fully enclose the physical space, preventing unauthorized physical contact with any of your devices?*</v>
      </c>
      <c r="D140" s="4" t="str">
        <f>VLOOKUP($A140,Questions!$A$3:$L$333,11,0)&amp;""</f>
        <v/>
      </c>
      <c r="E140" s="4" t="str">
        <f>VLOOKUP($A140,Questions!$A$3:$L$333,12,0)&amp;""</f>
        <v>Infrastructure</v>
      </c>
      <c r="F140" s="4" t="str">
        <f>VLOOKUP($A140,'Institution Evaluation'!$A$56:$K$345,3,0)&amp;""</f>
        <v>Yes</v>
      </c>
      <c r="G140" s="4" t="str">
        <f>VLOOKUP($A140,'Institution Evaluation'!$A$56:$K$345,7,0)&amp;""</f>
        <v>Yes</v>
      </c>
      <c r="H140" s="4" t="str">
        <f>VLOOKUP($A140,'Institution Evaluation'!$A$56:$K$345,8,0)&amp;""</f>
        <v/>
      </c>
      <c r="I140" s="4" t="str">
        <f>VLOOKUP($A140,'Institution Evaluation'!$A$56:$K$345,9,0)&amp;""</f>
        <v>Critical Importance</v>
      </c>
      <c r="J140" s="4" t="str">
        <f>VLOOKUP($A140,'Institution Evaluation'!$A$56:$K$345,10,0)&amp;""</f>
        <v/>
      </c>
      <c r="K140" s="4">
        <f>IF($I140='Auto Responses'!$J$11,20,IF($I140='Auto Responses'!$J$13,5,10))</f>
        <v>20</v>
      </c>
      <c r="L140" s="107">
        <f>IF(OR($E140='Auto Responses'!$L$13,$F140=""),'Auto Responses'!$J$5,IF(AND($D140='Auto Responses'!$J$27,$H140=""),'Auto Responses'!$J$5,IF(AND($D140='Auto Responses'!$J$27,$H140='Auto Responses'!$J$7),1,IF(AND($D140='Auto Responses'!$J$27,$H140='Auto Responses'!$J$8),0,IF(OR(AND($F140=$G140,$H140=""),$H140='Auto Responses'!$J$7),1,0)))))</f>
        <v>1</v>
      </c>
      <c r="M140" s="4" t="str">
        <f>VLOOKUP($A140,'Institution Evaluation'!$A$56:$K$345,11,0)&amp;""</f>
        <v>FALSE</v>
      </c>
      <c r="N140" s="4">
        <f>IF($J140='Auto Responses'!$J$11,1,IF(AND($J140="",$I140='Auto Responses'!$J$11),1,0))</f>
        <v>1</v>
      </c>
      <c r="O140" s="107">
        <f>IF(OR($F$17='Auto Responses'!$J$4,$E140='Auto Responses'!$L$13,$F140="",$F140='Auto Responses'!$J$5),'Auto Responses'!$J$5,IF($J140="",$K140,IF($J140='Auto Responses'!$J$13,5,IF($J140='Auto Responses'!$J$12,10,IF($J140='Auto Responses'!$J$11,20,0)))))</f>
        <v>20</v>
      </c>
      <c r="P140" s="107">
        <f>IF(OR($O140='Auto Responses'!$J$5,$L140='Auto Responses'!$J$5),'Auto Responses'!$J$5,$O140*$L140)</f>
        <v>20</v>
      </c>
      <c r="Q140" s="107">
        <f t="shared" si="14"/>
        <v>0</v>
      </c>
      <c r="R140" s="107">
        <f t="shared" si="19"/>
        <v>0</v>
      </c>
      <c r="S140" s="107">
        <f t="shared" si="15"/>
        <v>0</v>
      </c>
      <c r="T140" s="107">
        <f t="shared" si="16"/>
        <v>1</v>
      </c>
      <c r="U140" s="107">
        <f t="shared" si="20"/>
        <v>43</v>
      </c>
      <c r="V140" s="107">
        <f t="shared" si="17"/>
        <v>43</v>
      </c>
    </row>
    <row r="141" spans="1:22" ht="55.2" x14ac:dyDescent="0.3">
      <c r="A141" s="4" t="str">
        <f>Questions!$A141</f>
        <v>DCTR-07</v>
      </c>
      <c r="B141" s="4" t="str">
        <f t="shared" si="18"/>
        <v>DCTR</v>
      </c>
      <c r="C141" s="4" t="str">
        <f>VLOOKUP($A141,Questions!$A$3:$L$333,2,0)&amp;""</f>
        <v>Are your primary and secondary data centers geographically diverse?</v>
      </c>
      <c r="D141" s="4" t="str">
        <f>VLOOKUP($A141,Questions!$A$3:$L$333,11,0)&amp;""</f>
        <v/>
      </c>
      <c r="E141" s="4" t="str">
        <f>VLOOKUP($A141,Questions!$A$3:$L$333,12,0)&amp;""</f>
        <v>Infrastructure</v>
      </c>
      <c r="F141" s="4" t="str">
        <f>VLOOKUP($A141,'Institution Evaluation'!$A$56:$K$345,3,0)&amp;""</f>
        <v>Yes</v>
      </c>
      <c r="G141" s="4" t="str">
        <f>VLOOKUP($A141,'Institution Evaluation'!$A$56:$K$345,7,0)&amp;""</f>
        <v>Yes</v>
      </c>
      <c r="H141" s="4" t="str">
        <f>VLOOKUP($A141,'Institution Evaluation'!$A$56:$K$345,8,0)&amp;""</f>
        <v/>
      </c>
      <c r="I141" s="4" t="str">
        <f>VLOOKUP($A141,'Institution Evaluation'!$A$56:$K$345,9,0)&amp;""</f>
        <v>Standard Importance</v>
      </c>
      <c r="J141" s="4" t="str">
        <f>VLOOKUP($A141,'Institution Evaluation'!$A$56:$K$345,10,0)&amp;""</f>
        <v/>
      </c>
      <c r="K141" s="4">
        <f>IF($I141='Auto Responses'!$J$11,20,IF($I141='Auto Responses'!$J$13,5,10))</f>
        <v>10</v>
      </c>
      <c r="L141" s="107">
        <f>IF(OR($E141='Auto Responses'!$L$13,$F141=""),'Auto Responses'!$J$5,IF(AND($D141='Auto Responses'!$J$27,$H141=""),'Auto Responses'!$J$5,IF(AND($D141='Auto Responses'!$J$27,$H141='Auto Responses'!$J$7),1,IF(AND($D141='Auto Responses'!$J$27,$H141='Auto Responses'!$J$8),0,IF(OR(AND($F141=$G141,$H141=""),$H141='Auto Responses'!$J$7),1,0)))))</f>
        <v>1</v>
      </c>
      <c r="M141" s="4" t="str">
        <f>VLOOKUP($A141,'Institution Evaluation'!$A$56:$K$345,11,0)&amp;""</f>
        <v>FALSE</v>
      </c>
      <c r="N141" s="4">
        <f>IF($J141='Auto Responses'!$J$11,1,IF(AND($J141="",$I141='Auto Responses'!$J$11),1,0))</f>
        <v>0</v>
      </c>
      <c r="O141" s="107">
        <f>IF(OR($F$17='Auto Responses'!$J$4,$E141='Auto Responses'!$L$13,$F141="",$F141='Auto Responses'!$J$5),'Auto Responses'!$J$5,IF($J141="",$K141,IF($J141='Auto Responses'!$J$13,5,IF($J141='Auto Responses'!$J$12,10,IF($J141='Auto Responses'!$J$11,20,0)))))</f>
        <v>10</v>
      </c>
      <c r="P141" s="107">
        <f>IF(OR($O141='Auto Responses'!$J$5,$L141='Auto Responses'!$J$5),'Auto Responses'!$J$5,$O141*$L141)</f>
        <v>10</v>
      </c>
      <c r="Q141" s="107">
        <f t="shared" si="14"/>
        <v>0</v>
      </c>
      <c r="R141" s="107">
        <f t="shared" si="19"/>
        <v>0</v>
      </c>
      <c r="S141" s="107">
        <f t="shared" si="15"/>
        <v>0</v>
      </c>
      <c r="T141" s="107">
        <f t="shared" si="16"/>
        <v>0</v>
      </c>
      <c r="U141" s="107">
        <f t="shared" si="20"/>
        <v>43</v>
      </c>
      <c r="V141" s="107">
        <f t="shared" si="17"/>
        <v>0</v>
      </c>
    </row>
    <row r="142" spans="1:22" ht="55.2" x14ac:dyDescent="0.3">
      <c r="A142" s="4" t="str">
        <f>Questions!$A142</f>
        <v>DCTR-08</v>
      </c>
      <c r="B142" s="4" t="str">
        <f t="shared" si="18"/>
        <v>DCTR</v>
      </c>
      <c r="C142" s="4" t="str">
        <f>VLOOKUP($A142,Questions!$A$3:$L$333,2,0)&amp;""</f>
        <v>Is the service hosted in a high-availability environment?</v>
      </c>
      <c r="D142" s="4" t="str">
        <f>VLOOKUP($A142,Questions!$A$3:$L$333,11,0)&amp;""</f>
        <v/>
      </c>
      <c r="E142" s="4" t="str">
        <f>VLOOKUP($A142,Questions!$A$3:$L$333,12,0)&amp;""</f>
        <v>Infrastructure</v>
      </c>
      <c r="F142" s="4" t="str">
        <f>VLOOKUP($A142,'Institution Evaluation'!$A$56:$K$345,3,0)&amp;""</f>
        <v>Yes</v>
      </c>
      <c r="G142" s="4" t="str">
        <f>VLOOKUP($A142,'Institution Evaluation'!$A$56:$K$345,7,0)&amp;""</f>
        <v>Yes</v>
      </c>
      <c r="H142" s="4" t="str">
        <f>VLOOKUP($A142,'Institution Evaluation'!$A$56:$K$345,8,0)&amp;""</f>
        <v/>
      </c>
      <c r="I142" s="4" t="str">
        <f>VLOOKUP($A142,'Institution Evaluation'!$A$56:$K$345,9,0)&amp;""</f>
        <v>Standard Importance</v>
      </c>
      <c r="J142" s="4" t="str">
        <f>VLOOKUP($A142,'Institution Evaluation'!$A$56:$K$345,10,0)&amp;""</f>
        <v/>
      </c>
      <c r="K142" s="4">
        <f>IF($I142='Auto Responses'!$J$11,20,IF($I142='Auto Responses'!$J$13,5,10))</f>
        <v>10</v>
      </c>
      <c r="L142" s="107">
        <f>IF(OR($E142='Auto Responses'!$L$13,$F142=""),'Auto Responses'!$J$5,IF(AND($D142='Auto Responses'!$J$27,$H142=""),'Auto Responses'!$J$5,IF(AND($D142='Auto Responses'!$J$27,$H142='Auto Responses'!$J$7),1,IF(AND($D142='Auto Responses'!$J$27,$H142='Auto Responses'!$J$8),0,IF(OR(AND($F142=$G142,$H142=""),$H142='Auto Responses'!$J$7),1,0)))))</f>
        <v>1</v>
      </c>
      <c r="M142" s="4" t="str">
        <f>VLOOKUP($A142,'Institution Evaluation'!$A$56:$K$345,11,0)&amp;""</f>
        <v>FALSE</v>
      </c>
      <c r="N142" s="4">
        <f>IF($J142='Auto Responses'!$J$11,1,IF(AND($J142="",$I142='Auto Responses'!$J$11),1,0))</f>
        <v>0</v>
      </c>
      <c r="O142" s="107">
        <f>IF(OR($F$17='Auto Responses'!$J$4,$E142='Auto Responses'!$L$13,$F142="",$F142='Auto Responses'!$J$5),'Auto Responses'!$J$5,IF($J142="",$K142,IF($J142='Auto Responses'!$J$13,5,IF($J142='Auto Responses'!$J$12,10,IF($J142='Auto Responses'!$J$11,20,0)))))</f>
        <v>10</v>
      </c>
      <c r="P142" s="107">
        <f>IF(OR($O142='Auto Responses'!$J$5,$L142='Auto Responses'!$J$5),'Auto Responses'!$J$5,$O142*$L142)</f>
        <v>10</v>
      </c>
      <c r="Q142" s="107">
        <f t="shared" si="14"/>
        <v>0</v>
      </c>
      <c r="R142" s="107">
        <f t="shared" si="19"/>
        <v>0</v>
      </c>
      <c r="S142" s="107">
        <f t="shared" si="15"/>
        <v>0</v>
      </c>
      <c r="T142" s="107">
        <f t="shared" si="16"/>
        <v>0</v>
      </c>
      <c r="U142" s="107">
        <f t="shared" si="20"/>
        <v>43</v>
      </c>
      <c r="V142" s="107">
        <f t="shared" si="17"/>
        <v>0</v>
      </c>
    </row>
    <row r="143" spans="1:22" ht="55.2" x14ac:dyDescent="0.3">
      <c r="A143" s="4" t="str">
        <f>Questions!$A143</f>
        <v>DCTR-09</v>
      </c>
      <c r="B143" s="4" t="str">
        <f t="shared" si="18"/>
        <v>DCTR</v>
      </c>
      <c r="C143" s="4" t="str">
        <f>VLOOKUP($A143,Questions!$A$3:$L$333,2,0)&amp;""</f>
        <v>Is redundant power available for all data centers where institutional data will reside?</v>
      </c>
      <c r="D143" s="4" t="str">
        <f>VLOOKUP($A143,Questions!$A$3:$L$333,11,0)&amp;""</f>
        <v/>
      </c>
      <c r="E143" s="4" t="str">
        <f>VLOOKUP($A143,Questions!$A$3:$L$333,12,0)&amp;""</f>
        <v>Infrastructure</v>
      </c>
      <c r="F143" s="4" t="str">
        <f>VLOOKUP($A143,'Institution Evaluation'!$A$56:$K$345,3,0)&amp;""</f>
        <v>Yes</v>
      </c>
      <c r="G143" s="4" t="str">
        <f>VLOOKUP($A143,'Institution Evaluation'!$A$56:$K$345,7,0)&amp;""</f>
        <v>Yes</v>
      </c>
      <c r="H143" s="4" t="str">
        <f>VLOOKUP($A143,'Institution Evaluation'!$A$56:$K$345,8,0)&amp;""</f>
        <v/>
      </c>
      <c r="I143" s="4" t="str">
        <f>VLOOKUP($A143,'Institution Evaluation'!$A$56:$K$345,9,0)&amp;""</f>
        <v>Standard Importance</v>
      </c>
      <c r="J143" s="4" t="str">
        <f>VLOOKUP($A143,'Institution Evaluation'!$A$56:$K$345,10,0)&amp;""</f>
        <v/>
      </c>
      <c r="K143" s="4">
        <f>IF($I143='Auto Responses'!$J$11,20,IF($I143='Auto Responses'!$J$13,5,10))</f>
        <v>10</v>
      </c>
      <c r="L143" s="107">
        <f>IF(OR($E143='Auto Responses'!$L$13,$F143=""),'Auto Responses'!$J$5,IF(AND($D143='Auto Responses'!$J$27,$H143=""),'Auto Responses'!$J$5,IF(AND($D143='Auto Responses'!$J$27,$H143='Auto Responses'!$J$7),1,IF(AND($D143='Auto Responses'!$J$27,$H143='Auto Responses'!$J$8),0,IF(OR(AND($F143=$G143,$H143=""),$H143='Auto Responses'!$J$7),1,0)))))</f>
        <v>1</v>
      </c>
      <c r="M143" s="4" t="str">
        <f>VLOOKUP($A143,'Institution Evaluation'!$A$56:$K$345,11,0)&amp;""</f>
        <v>FALSE</v>
      </c>
      <c r="N143" s="4">
        <f>IF($J143='Auto Responses'!$J$11,1,IF(AND($J143="",$I143='Auto Responses'!$J$11),1,0))</f>
        <v>0</v>
      </c>
      <c r="O143" s="107">
        <f>IF(OR($F$17='Auto Responses'!$J$4,$E143='Auto Responses'!$L$13,$F143="",$F143='Auto Responses'!$J$5),'Auto Responses'!$J$5,IF($J143="",$K143,IF($J143='Auto Responses'!$J$13,5,IF($J143='Auto Responses'!$J$12,10,IF($J143='Auto Responses'!$J$11,20,0)))))</f>
        <v>10</v>
      </c>
      <c r="P143" s="107">
        <f>IF(OR($O143='Auto Responses'!$J$5,$L143='Auto Responses'!$J$5),'Auto Responses'!$J$5,$O143*$L143)</f>
        <v>10</v>
      </c>
      <c r="Q143" s="107">
        <f t="shared" si="14"/>
        <v>0</v>
      </c>
      <c r="R143" s="107">
        <f t="shared" si="19"/>
        <v>0</v>
      </c>
      <c r="S143" s="107">
        <f t="shared" si="15"/>
        <v>0</v>
      </c>
      <c r="T143" s="107">
        <f t="shared" si="16"/>
        <v>0</v>
      </c>
      <c r="U143" s="107">
        <f t="shared" si="20"/>
        <v>43</v>
      </c>
      <c r="V143" s="107">
        <f t="shared" si="17"/>
        <v>0</v>
      </c>
    </row>
    <row r="144" spans="1:22" ht="55.2" x14ac:dyDescent="0.3">
      <c r="A144" s="4" t="str">
        <f>Questions!$A144</f>
        <v>DCTR-10</v>
      </c>
      <c r="B144" s="4" t="str">
        <f t="shared" si="18"/>
        <v>DCTR</v>
      </c>
      <c r="C144" s="4" t="str">
        <f>VLOOKUP($A144,Questions!$A$3:$L$333,2,0)&amp;""</f>
        <v>Are redundant power strategies tested?*</v>
      </c>
      <c r="D144" s="4" t="str">
        <f>VLOOKUP($A144,Questions!$A$3:$L$333,11,0)&amp;""</f>
        <v/>
      </c>
      <c r="E144" s="4" t="str">
        <f>VLOOKUP($A144,Questions!$A$3:$L$333,12,0)&amp;""</f>
        <v>Infrastructure</v>
      </c>
      <c r="F144" s="4" t="str">
        <f>VLOOKUP($A144,'Institution Evaluation'!$A$56:$K$345,3,0)&amp;""</f>
        <v>Yes</v>
      </c>
      <c r="G144" s="4" t="str">
        <f>VLOOKUP($A144,'Institution Evaluation'!$A$56:$K$345,7,0)&amp;""</f>
        <v>Yes</v>
      </c>
      <c r="H144" s="4" t="str">
        <f>VLOOKUP($A144,'Institution Evaluation'!$A$56:$K$345,8,0)&amp;""</f>
        <v/>
      </c>
      <c r="I144" s="4" t="str">
        <f>VLOOKUP($A144,'Institution Evaluation'!$A$56:$K$345,9,0)&amp;""</f>
        <v>Critical Importance</v>
      </c>
      <c r="J144" s="4" t="str">
        <f>VLOOKUP($A144,'Institution Evaluation'!$A$56:$K$345,10,0)&amp;""</f>
        <v/>
      </c>
      <c r="K144" s="4">
        <f>IF($I144='Auto Responses'!$J$11,20,IF($I144='Auto Responses'!$J$13,5,10))</f>
        <v>20</v>
      </c>
      <c r="L144" s="107">
        <f>IF(OR($E144='Auto Responses'!$L$13,$F144=""),'Auto Responses'!$J$5,IF(AND($D144='Auto Responses'!$J$27,$H144=""),'Auto Responses'!$J$5,IF(AND($D144='Auto Responses'!$J$27,$H144='Auto Responses'!$J$7),1,IF(AND($D144='Auto Responses'!$J$27,$H144='Auto Responses'!$J$8),0,IF(OR(AND($F144=$G144,$H144=""),$H144='Auto Responses'!$J$7),1,0)))))</f>
        <v>1</v>
      </c>
      <c r="M144" s="4" t="str">
        <f>VLOOKUP($A144,'Institution Evaluation'!$A$56:$K$345,11,0)&amp;""</f>
        <v>FALSE</v>
      </c>
      <c r="N144" s="4">
        <f>IF($J144='Auto Responses'!$J$11,1,IF(AND($J144="",$I144='Auto Responses'!$J$11),1,0))</f>
        <v>1</v>
      </c>
      <c r="O144" s="107">
        <f>IF(OR($F$17='Auto Responses'!$J$4,$E144='Auto Responses'!$L$13,$F144="",$F144='Auto Responses'!$J$5),'Auto Responses'!$J$5,IF($J144="",$K144,IF($J144='Auto Responses'!$J$13,5,IF($J144='Auto Responses'!$J$12,10,IF($J144='Auto Responses'!$J$11,20,0)))))</f>
        <v>20</v>
      </c>
      <c r="P144" s="107">
        <f>IF(OR($O144='Auto Responses'!$J$5,$L144='Auto Responses'!$J$5),'Auto Responses'!$J$5,$O144*$L144)</f>
        <v>20</v>
      </c>
      <c r="Q144" s="107">
        <f t="shared" si="14"/>
        <v>0</v>
      </c>
      <c r="R144" s="107">
        <f t="shared" si="19"/>
        <v>0</v>
      </c>
      <c r="S144" s="107">
        <f t="shared" si="15"/>
        <v>0</v>
      </c>
      <c r="T144" s="107">
        <f t="shared" si="16"/>
        <v>1</v>
      </c>
      <c r="U144" s="107">
        <f t="shared" si="20"/>
        <v>44</v>
      </c>
      <c r="V144" s="107">
        <f t="shared" si="17"/>
        <v>44</v>
      </c>
    </row>
    <row r="145" spans="1:22" ht="55.2" x14ac:dyDescent="0.3">
      <c r="A145" s="4" t="str">
        <f>Questions!$A145</f>
        <v>DCTR-11</v>
      </c>
      <c r="B145" s="4" t="str">
        <f t="shared" si="18"/>
        <v>DCTR</v>
      </c>
      <c r="C145" s="4" t="str">
        <f>VLOOKUP($A145,Questions!$A$3:$L$333,2,0)&amp;""</f>
        <v>Does the center where the data will reside have cooling and fire-suppression systems that are active and regularly tested?</v>
      </c>
      <c r="D145" s="4" t="str">
        <f>VLOOKUP($A145,Questions!$A$3:$L$333,11,0)&amp;""</f>
        <v/>
      </c>
      <c r="E145" s="4" t="str">
        <f>VLOOKUP($A145,Questions!$A$3:$L$333,12,0)&amp;""</f>
        <v>Infrastructure</v>
      </c>
      <c r="F145" s="4" t="str">
        <f>VLOOKUP($A145,'Institution Evaluation'!$A$56:$K$345,3,0)&amp;""</f>
        <v>Yes</v>
      </c>
      <c r="G145" s="4" t="str">
        <f>VLOOKUP($A145,'Institution Evaluation'!$A$56:$K$345,7,0)&amp;""</f>
        <v>Yes</v>
      </c>
      <c r="H145" s="4" t="str">
        <f>VLOOKUP($A145,'Institution Evaluation'!$A$56:$K$345,8,0)&amp;""</f>
        <v/>
      </c>
      <c r="I145" s="4" t="str">
        <f>VLOOKUP($A145,'Institution Evaluation'!$A$56:$K$345,9,0)&amp;""</f>
        <v>Standard Importance</v>
      </c>
      <c r="J145" s="4" t="str">
        <f>VLOOKUP($A145,'Institution Evaluation'!$A$56:$K$345,10,0)&amp;""</f>
        <v/>
      </c>
      <c r="K145" s="4">
        <f>IF($I145='Auto Responses'!$J$11,20,IF($I145='Auto Responses'!$J$13,5,10))</f>
        <v>10</v>
      </c>
      <c r="L145" s="107">
        <f>IF(OR($E145='Auto Responses'!$L$13,$F145=""),'Auto Responses'!$J$5,IF(AND($D145='Auto Responses'!$J$27,$H145=""),'Auto Responses'!$J$5,IF(AND($D145='Auto Responses'!$J$27,$H145='Auto Responses'!$J$7),1,IF(AND($D145='Auto Responses'!$J$27,$H145='Auto Responses'!$J$8),0,IF(OR(AND($F145=$G145,$H145=""),$H145='Auto Responses'!$J$7),1,0)))))</f>
        <v>1</v>
      </c>
      <c r="M145" s="4" t="str">
        <f>VLOOKUP($A145,'Institution Evaluation'!$A$56:$K$345,11,0)&amp;""</f>
        <v>FALSE</v>
      </c>
      <c r="N145" s="4">
        <f>IF($J145='Auto Responses'!$J$11,1,IF(AND($J145="",$I145='Auto Responses'!$J$11),1,0))</f>
        <v>0</v>
      </c>
      <c r="O145" s="107">
        <f>IF(OR($F$17='Auto Responses'!$J$4,$E145='Auto Responses'!$L$13,$F145="",$F145='Auto Responses'!$J$5),'Auto Responses'!$J$5,IF($J145="",$K145,IF($J145='Auto Responses'!$J$13,5,IF($J145='Auto Responses'!$J$12,10,IF($J145='Auto Responses'!$J$11,20,0)))))</f>
        <v>10</v>
      </c>
      <c r="P145" s="107">
        <f>IF(OR($O145='Auto Responses'!$J$5,$L145='Auto Responses'!$J$5),'Auto Responses'!$J$5,$O145*$L145)</f>
        <v>10</v>
      </c>
      <c r="Q145" s="107">
        <f t="shared" si="14"/>
        <v>0</v>
      </c>
      <c r="R145" s="107">
        <f t="shared" si="19"/>
        <v>0</v>
      </c>
      <c r="S145" s="107">
        <f t="shared" si="15"/>
        <v>0</v>
      </c>
      <c r="T145" s="107">
        <f t="shared" si="16"/>
        <v>0</v>
      </c>
      <c r="U145" s="107">
        <f t="shared" si="20"/>
        <v>44</v>
      </c>
      <c r="V145" s="107">
        <f t="shared" si="17"/>
        <v>0</v>
      </c>
    </row>
    <row r="146" spans="1:22" ht="55.2" x14ac:dyDescent="0.3">
      <c r="A146" s="4" t="str">
        <f>Questions!$A146</f>
        <v>DCTR-12</v>
      </c>
      <c r="B146" s="4" t="str">
        <f t="shared" si="18"/>
        <v>DCTR</v>
      </c>
      <c r="C146" s="4" t="str">
        <f>VLOOKUP($A146,Questions!$A$3:$L$333,2,0)&amp;""</f>
        <v>Do you have Internet Service Provider (ISP) redundancy?</v>
      </c>
      <c r="D146" s="4" t="str">
        <f>VLOOKUP($A146,Questions!$A$3:$L$333,11,0)&amp;""</f>
        <v/>
      </c>
      <c r="E146" s="4" t="str">
        <f>VLOOKUP($A146,Questions!$A$3:$L$333,12,0)&amp;""</f>
        <v>Infrastructure</v>
      </c>
      <c r="F146" s="4" t="str">
        <f>VLOOKUP($A146,'Institution Evaluation'!$A$56:$K$345,3,0)&amp;""</f>
        <v>Yes</v>
      </c>
      <c r="G146" s="4" t="str">
        <f>VLOOKUP($A146,'Institution Evaluation'!$A$56:$K$345,7,0)&amp;""</f>
        <v>Yes</v>
      </c>
      <c r="H146" s="4" t="str">
        <f>VLOOKUP($A146,'Institution Evaluation'!$A$56:$K$345,8,0)&amp;""</f>
        <v/>
      </c>
      <c r="I146" s="4" t="str">
        <f>VLOOKUP($A146,'Institution Evaluation'!$A$56:$K$345,9,0)&amp;""</f>
        <v>Standard Importance</v>
      </c>
      <c r="J146" s="4" t="str">
        <f>VLOOKUP($A146,'Institution Evaluation'!$A$56:$K$345,10,0)&amp;""</f>
        <v/>
      </c>
      <c r="K146" s="4">
        <f>IF($I146='Auto Responses'!$J$11,20,IF($I146='Auto Responses'!$J$13,5,10))</f>
        <v>10</v>
      </c>
      <c r="L146" s="107">
        <f>IF(OR($E146='Auto Responses'!$L$13,$F146=""),'Auto Responses'!$J$5,IF(AND($D146='Auto Responses'!$J$27,$H146=""),'Auto Responses'!$J$5,IF(AND($D146='Auto Responses'!$J$27,$H146='Auto Responses'!$J$7),1,IF(AND($D146='Auto Responses'!$J$27,$H146='Auto Responses'!$J$8),0,IF(OR(AND($F146=$G146,$H146=""),$H146='Auto Responses'!$J$7),1,0)))))</f>
        <v>1</v>
      </c>
      <c r="M146" s="4" t="str">
        <f>VLOOKUP($A146,'Institution Evaluation'!$A$56:$K$345,11,0)&amp;""</f>
        <v>FALSE</v>
      </c>
      <c r="N146" s="4">
        <f>IF($J146='Auto Responses'!$J$11,1,IF(AND($J146="",$I146='Auto Responses'!$J$11),1,0))</f>
        <v>0</v>
      </c>
      <c r="O146" s="107">
        <f>IF(OR($F$17='Auto Responses'!$J$4,$E146='Auto Responses'!$L$13,$F146="",$F146='Auto Responses'!$J$5),'Auto Responses'!$J$5,IF($J146="",$K146,IF($J146='Auto Responses'!$J$13,5,IF($J146='Auto Responses'!$J$12,10,IF($J146='Auto Responses'!$J$11,20,0)))))</f>
        <v>10</v>
      </c>
      <c r="P146" s="107">
        <f>IF(OR($O146='Auto Responses'!$J$5,$L146='Auto Responses'!$J$5),'Auto Responses'!$J$5,$O146*$L146)</f>
        <v>10</v>
      </c>
      <c r="Q146" s="107">
        <f t="shared" si="14"/>
        <v>0</v>
      </c>
      <c r="R146" s="107">
        <f t="shared" si="19"/>
        <v>0</v>
      </c>
      <c r="S146" s="107">
        <f t="shared" si="15"/>
        <v>0</v>
      </c>
      <c r="T146" s="107">
        <f t="shared" si="16"/>
        <v>0</v>
      </c>
      <c r="U146" s="107">
        <f t="shared" si="20"/>
        <v>44</v>
      </c>
      <c r="V146" s="107">
        <f t="shared" si="17"/>
        <v>0</v>
      </c>
    </row>
    <row r="147" spans="1:22" ht="55.2" x14ac:dyDescent="0.3">
      <c r="A147" s="4" t="str">
        <f>Questions!$A147</f>
        <v>DCTR-13</v>
      </c>
      <c r="B147" s="4" t="str">
        <f t="shared" si="18"/>
        <v>DCTR</v>
      </c>
      <c r="C147" s="4" t="str">
        <f>VLOOKUP($A147,Questions!$A$3:$L$333,2,0)&amp;""</f>
        <v>Does every data center where the institution's data will reside have multiple telephone company or network provider entrances to the facility?</v>
      </c>
      <c r="D147" s="4" t="str">
        <f>VLOOKUP($A147,Questions!$A$3:$L$333,11,0)&amp;""</f>
        <v/>
      </c>
      <c r="E147" s="4" t="str">
        <f>VLOOKUP($A147,Questions!$A$3:$L$333,12,0)&amp;""</f>
        <v>Infrastructure</v>
      </c>
      <c r="F147" s="4" t="str">
        <f>VLOOKUP($A147,'Institution Evaluation'!$A$56:$K$345,3,0)&amp;""</f>
        <v>Yes</v>
      </c>
      <c r="G147" s="4" t="str">
        <f>VLOOKUP($A147,'Institution Evaluation'!$A$56:$K$345,7,0)&amp;""</f>
        <v>Yes</v>
      </c>
      <c r="H147" s="4" t="str">
        <f>VLOOKUP($A147,'Institution Evaluation'!$A$56:$K$345,8,0)&amp;""</f>
        <v/>
      </c>
      <c r="I147" s="4" t="str">
        <f>VLOOKUP($A147,'Institution Evaluation'!$A$56:$K$345,9,0)&amp;""</f>
        <v>Standard Importance</v>
      </c>
      <c r="J147" s="4" t="str">
        <f>VLOOKUP($A147,'Institution Evaluation'!$A$56:$K$345,10,0)&amp;""</f>
        <v/>
      </c>
      <c r="K147" s="4">
        <f>IF($I147='Auto Responses'!$J$11,20,IF($I147='Auto Responses'!$J$13,5,10))</f>
        <v>10</v>
      </c>
      <c r="L147" s="107">
        <f>IF(OR($E147='Auto Responses'!$L$13,$F147=""),'Auto Responses'!$J$5,IF(AND($D147='Auto Responses'!$J$27,$H147=""),'Auto Responses'!$J$5,IF(AND($D147='Auto Responses'!$J$27,$H147='Auto Responses'!$J$7),1,IF(AND($D147='Auto Responses'!$J$27,$H147='Auto Responses'!$J$8),0,IF(OR(AND($F147=$G147,$H147=""),$H147='Auto Responses'!$J$7),1,0)))))</f>
        <v>1</v>
      </c>
      <c r="M147" s="4" t="str">
        <f>VLOOKUP($A147,'Institution Evaluation'!$A$56:$K$345,11,0)&amp;""</f>
        <v>FALSE</v>
      </c>
      <c r="N147" s="4">
        <f>IF($J147='Auto Responses'!$J$11,1,IF(AND($J147="",$I147='Auto Responses'!$J$11),1,0))</f>
        <v>0</v>
      </c>
      <c r="O147" s="107">
        <f>IF(OR($F$17='Auto Responses'!$J$4,$E147='Auto Responses'!$L$13,$F147="",$F147='Auto Responses'!$J$5),'Auto Responses'!$J$5,IF($J147="",$K147,IF($J147='Auto Responses'!$J$13,5,IF($J147='Auto Responses'!$J$12,10,IF($J147='Auto Responses'!$J$11,20,0)))))</f>
        <v>10</v>
      </c>
      <c r="P147" s="107">
        <f>IF(OR($O147='Auto Responses'!$J$5,$L147='Auto Responses'!$J$5),'Auto Responses'!$J$5,$O147*$L147)</f>
        <v>10</v>
      </c>
      <c r="Q147" s="107">
        <f t="shared" si="14"/>
        <v>0</v>
      </c>
      <c r="R147" s="107">
        <f t="shared" si="19"/>
        <v>0</v>
      </c>
      <c r="S147" s="107">
        <f t="shared" si="15"/>
        <v>0</v>
      </c>
      <c r="T147" s="107">
        <f t="shared" si="16"/>
        <v>0</v>
      </c>
      <c r="U147" s="107">
        <f t="shared" si="20"/>
        <v>44</v>
      </c>
      <c r="V147" s="107">
        <f t="shared" si="17"/>
        <v>0</v>
      </c>
    </row>
    <row r="148" spans="1:22" ht="55.2" x14ac:dyDescent="0.3">
      <c r="A148" s="4" t="str">
        <f>Questions!$A148</f>
        <v>DCTR-14</v>
      </c>
      <c r="B148" s="4" t="str">
        <f t="shared" si="18"/>
        <v>DCTR</v>
      </c>
      <c r="C148" s="4" t="str">
        <f>VLOOKUP($A148,Questions!$A$3:$L$333,2,0)&amp;""</f>
        <v>Do you require multifactor authentication for all administrative accounts in your environment?</v>
      </c>
      <c r="D148" s="4" t="str">
        <f>VLOOKUP($A148,Questions!$A$3:$L$333,11,0)&amp;""</f>
        <v/>
      </c>
      <c r="E148" s="4" t="str">
        <f>VLOOKUP($A148,Questions!$A$3:$L$333,12,0)&amp;""</f>
        <v>Infrastructure</v>
      </c>
      <c r="F148" s="4" t="str">
        <f>VLOOKUP($A148,'Institution Evaluation'!$A$56:$K$345,3,0)&amp;""</f>
        <v>Yes</v>
      </c>
      <c r="G148" s="4" t="str">
        <f>VLOOKUP($A148,'Institution Evaluation'!$A$56:$K$345,7,0)&amp;""</f>
        <v>Yes</v>
      </c>
      <c r="H148" s="4" t="str">
        <f>VLOOKUP($A148,'Institution Evaluation'!$A$56:$K$345,8,0)&amp;""</f>
        <v/>
      </c>
      <c r="I148" s="4" t="str">
        <f>VLOOKUP($A148,'Institution Evaluation'!$A$56:$K$345,9,0)&amp;""</f>
        <v>Standard Importance</v>
      </c>
      <c r="J148" s="4" t="str">
        <f>VLOOKUP($A148,'Institution Evaluation'!$A$56:$K$345,10,0)&amp;""</f>
        <v/>
      </c>
      <c r="K148" s="4">
        <f>IF($I148='Auto Responses'!$J$11,20,IF($I148='Auto Responses'!$J$13,5,10))</f>
        <v>10</v>
      </c>
      <c r="L148" s="107">
        <f>IF(OR($E148='Auto Responses'!$L$13,$F148=""),'Auto Responses'!$J$5,IF(AND($D148='Auto Responses'!$J$27,$H148=""),'Auto Responses'!$J$5,IF(AND($D148='Auto Responses'!$J$27,$H148='Auto Responses'!$J$7),1,IF(AND($D148='Auto Responses'!$J$27,$H148='Auto Responses'!$J$8),0,IF(OR(AND($F148=$G148,$H148=""),$H148='Auto Responses'!$J$7),1,0)))))</f>
        <v>1</v>
      </c>
      <c r="M148" s="4" t="str">
        <f>VLOOKUP($A148,'Institution Evaluation'!$A$56:$K$345,11,0)&amp;""</f>
        <v>FALSE</v>
      </c>
      <c r="N148" s="4">
        <f>IF($J148='Auto Responses'!$J$11,1,IF(AND($J148="",$I148='Auto Responses'!$J$11),1,0))</f>
        <v>0</v>
      </c>
      <c r="O148" s="107">
        <f>IF(OR($F$17='Auto Responses'!$J$4,$E148='Auto Responses'!$L$13,$F148="",$F148='Auto Responses'!$J$5),'Auto Responses'!$J$5,IF($J148="",$K148,IF($J148='Auto Responses'!$J$13,5,IF($J148='Auto Responses'!$J$12,10,IF($J148='Auto Responses'!$J$11,20,0)))))</f>
        <v>10</v>
      </c>
      <c r="P148" s="107">
        <f>IF(OR($O148='Auto Responses'!$J$5,$L148='Auto Responses'!$J$5),'Auto Responses'!$J$5,$O148*$L148)</f>
        <v>10</v>
      </c>
      <c r="Q148" s="107">
        <f t="shared" si="14"/>
        <v>0</v>
      </c>
      <c r="R148" s="107">
        <f t="shared" si="19"/>
        <v>0</v>
      </c>
      <c r="S148" s="107">
        <f t="shared" si="15"/>
        <v>0</v>
      </c>
      <c r="T148" s="107">
        <f t="shared" si="16"/>
        <v>0</v>
      </c>
      <c r="U148" s="107">
        <f t="shared" si="20"/>
        <v>44</v>
      </c>
      <c r="V148" s="107">
        <f t="shared" si="17"/>
        <v>0</v>
      </c>
    </row>
    <row r="149" spans="1:22" ht="55.2" x14ac:dyDescent="0.3">
      <c r="A149" s="4" t="str">
        <f>Questions!$A149</f>
        <v>DCTR-15</v>
      </c>
      <c r="B149" s="4" t="str">
        <f t="shared" si="18"/>
        <v>DCTR</v>
      </c>
      <c r="C149" s="4" t="str">
        <f>VLOOKUP($A149,Questions!$A$3:$L$333,2,0)&amp;""</f>
        <v>Are you using your cloud provider's available hardening tools or pre-hardened images?</v>
      </c>
      <c r="D149" s="4" t="str">
        <f>VLOOKUP($A149,Questions!$A$3:$L$333,11,0)&amp;""</f>
        <v/>
      </c>
      <c r="E149" s="4" t="str">
        <f>VLOOKUP($A149,Questions!$A$3:$L$333,12,0)&amp;""</f>
        <v>Infrastructure</v>
      </c>
      <c r="F149" s="4" t="str">
        <f>VLOOKUP($A149,'Institution Evaluation'!$A$56:$K$345,3,0)&amp;""</f>
        <v>Yes</v>
      </c>
      <c r="G149" s="4" t="str">
        <f>VLOOKUP($A149,'Institution Evaluation'!$A$56:$K$345,7,0)&amp;""</f>
        <v>Yes</v>
      </c>
      <c r="H149" s="4" t="str">
        <f>VLOOKUP($A149,'Institution Evaluation'!$A$56:$K$345,8,0)&amp;""</f>
        <v/>
      </c>
      <c r="I149" s="4" t="str">
        <f>VLOOKUP($A149,'Institution Evaluation'!$A$56:$K$345,9,0)&amp;""</f>
        <v>Standard Importance</v>
      </c>
      <c r="J149" s="4" t="str">
        <f>VLOOKUP($A149,'Institution Evaluation'!$A$56:$K$345,10,0)&amp;""</f>
        <v/>
      </c>
      <c r="K149" s="4">
        <f>IF($I149='Auto Responses'!$J$11,20,IF($I149='Auto Responses'!$J$13,5,10))</f>
        <v>10</v>
      </c>
      <c r="L149" s="107">
        <f>IF(OR($E149='Auto Responses'!$L$13,$F149=""),'Auto Responses'!$J$5,IF(AND($D149='Auto Responses'!$J$27,$H149=""),'Auto Responses'!$J$5,IF(AND($D149='Auto Responses'!$J$27,$H149='Auto Responses'!$J$7),1,IF(AND($D149='Auto Responses'!$J$27,$H149='Auto Responses'!$J$8),0,IF(OR(AND($F149=$G149,$H149=""),$H149='Auto Responses'!$J$7),1,0)))))</f>
        <v>1</v>
      </c>
      <c r="M149" s="4" t="str">
        <f>VLOOKUP($A149,'Institution Evaluation'!$A$56:$K$345,11,0)&amp;""</f>
        <v>FALSE</v>
      </c>
      <c r="N149" s="4">
        <f>IF($J149='Auto Responses'!$J$11,1,IF(AND($J149="",$I149='Auto Responses'!$J$11),1,0))</f>
        <v>0</v>
      </c>
      <c r="O149" s="107">
        <f>IF(OR($F$17='Auto Responses'!$J$4,$E149='Auto Responses'!$L$13,$F149="",$F149='Auto Responses'!$J$5),'Auto Responses'!$J$5,IF($J149="",$K149,IF($J149='Auto Responses'!$J$13,5,IF($J149='Auto Responses'!$J$12,10,IF($J149='Auto Responses'!$J$11,20,0)))))</f>
        <v>10</v>
      </c>
      <c r="P149" s="107">
        <f>IF(OR($O149='Auto Responses'!$J$5,$L149='Auto Responses'!$J$5),'Auto Responses'!$J$5,$O149*$L149)</f>
        <v>10</v>
      </c>
      <c r="Q149" s="107">
        <f t="shared" si="14"/>
        <v>0</v>
      </c>
      <c r="R149" s="107">
        <f t="shared" si="19"/>
        <v>0</v>
      </c>
      <c r="S149" s="107">
        <f t="shared" si="15"/>
        <v>0</v>
      </c>
      <c r="T149" s="107">
        <f t="shared" si="16"/>
        <v>0</v>
      </c>
      <c r="U149" s="107">
        <f t="shared" si="20"/>
        <v>44</v>
      </c>
      <c r="V149" s="107">
        <f t="shared" si="17"/>
        <v>0</v>
      </c>
    </row>
    <row r="150" spans="1:22" ht="55.2" x14ac:dyDescent="0.3">
      <c r="A150" s="4" t="str">
        <f>Questions!$A150</f>
        <v>DCTR-16</v>
      </c>
      <c r="B150" s="4" t="str">
        <f t="shared" si="18"/>
        <v>DCTR</v>
      </c>
      <c r="C150" s="4" t="str">
        <f>VLOOKUP($A150,Questions!$A$3:$L$333,2,0)&amp;""</f>
        <v>Does your cloud solution provider have access to your encryption keys?</v>
      </c>
      <c r="D150" s="4" t="str">
        <f>VLOOKUP($A150,Questions!$A$3:$L$333,11,0)&amp;""</f>
        <v/>
      </c>
      <c r="E150" s="4" t="str">
        <f>VLOOKUP($A150,Questions!$A$3:$L$333,12,0)&amp;""</f>
        <v>Infrastructure</v>
      </c>
      <c r="F150" s="4" t="str">
        <f>VLOOKUP($A150,'Institution Evaluation'!$A$56:$K$345,3,0)&amp;""</f>
        <v>No</v>
      </c>
      <c r="G150" s="4" t="str">
        <f>VLOOKUP($A150,'Institution Evaluation'!$A$56:$K$345,7,0)&amp;""</f>
        <v>No</v>
      </c>
      <c r="H150" s="4" t="str">
        <f>VLOOKUP($A150,'Institution Evaluation'!$A$56:$K$345,8,0)&amp;""</f>
        <v/>
      </c>
      <c r="I150" s="4" t="str">
        <f>VLOOKUP($A150,'Institution Evaluation'!$A$56:$K$345,9,0)&amp;""</f>
        <v>Standard Importance</v>
      </c>
      <c r="J150" s="4" t="str">
        <f>VLOOKUP($A150,'Institution Evaluation'!$A$56:$K$345,10,0)&amp;""</f>
        <v/>
      </c>
      <c r="K150" s="4">
        <f>IF($I150='Auto Responses'!$J$11,20,IF($I150='Auto Responses'!$J$13,5,10))</f>
        <v>10</v>
      </c>
      <c r="L150" s="107">
        <f>IF(OR($E150='Auto Responses'!$L$13,$F150=""),'Auto Responses'!$J$5,IF(AND($D150='Auto Responses'!$J$27,$H150=""),'Auto Responses'!$J$5,IF(AND($D150='Auto Responses'!$J$27,$H150='Auto Responses'!$J$7),1,IF(AND($D150='Auto Responses'!$J$27,$H150='Auto Responses'!$J$8),0,IF(OR(AND($F150=$G150,$H150=""),$H150='Auto Responses'!$J$7),1,0)))))</f>
        <v>1</v>
      </c>
      <c r="M150" s="4" t="str">
        <f>VLOOKUP($A150,'Institution Evaluation'!$A$56:$K$345,11,0)&amp;""</f>
        <v>FALSE</v>
      </c>
      <c r="N150" s="4">
        <f>IF($J150='Auto Responses'!$J$11,1,IF(AND($J150="",$I150='Auto Responses'!$J$11),1,0))</f>
        <v>0</v>
      </c>
      <c r="O150" s="107">
        <f>IF(OR($F$17='Auto Responses'!$J$4,$E150='Auto Responses'!$L$13,$F150="",$F150='Auto Responses'!$J$5),'Auto Responses'!$J$5,IF($J150="",$K150,IF($J150='Auto Responses'!$J$13,5,IF($J150='Auto Responses'!$J$12,10,IF($J150='Auto Responses'!$J$11,20,0)))))</f>
        <v>10</v>
      </c>
      <c r="P150" s="107">
        <f>IF(OR($O150='Auto Responses'!$J$5,$L150='Auto Responses'!$J$5),'Auto Responses'!$J$5,$O150*$L150)</f>
        <v>10</v>
      </c>
      <c r="Q150" s="107">
        <f t="shared" si="14"/>
        <v>0</v>
      </c>
      <c r="R150" s="107">
        <f t="shared" si="19"/>
        <v>0</v>
      </c>
      <c r="S150" s="107">
        <f t="shared" si="15"/>
        <v>0</v>
      </c>
      <c r="T150" s="107">
        <f t="shared" si="16"/>
        <v>0</v>
      </c>
      <c r="U150" s="107">
        <f t="shared" si="20"/>
        <v>44</v>
      </c>
      <c r="V150" s="107">
        <f t="shared" si="17"/>
        <v>0</v>
      </c>
    </row>
    <row r="151" spans="1:22" ht="55.2" x14ac:dyDescent="0.3">
      <c r="A151" s="4" t="str">
        <f>Questions!$A151</f>
        <v>FIDP-01</v>
      </c>
      <c r="B151" s="4" t="str">
        <f t="shared" si="18"/>
        <v>FIDP</v>
      </c>
      <c r="C151" s="4" t="str">
        <f>VLOOKUP($A151,Questions!$A$3:$L$333,2,0)&amp;""</f>
        <v>Are you utilizing a stateful packet inspection (SPI) firewall?*</v>
      </c>
      <c r="D151" s="4" t="str">
        <f>VLOOKUP($A151,Questions!$A$3:$L$333,11,0)&amp;""</f>
        <v/>
      </c>
      <c r="E151" s="4" t="str">
        <f>VLOOKUP($A151,Questions!$A$3:$L$333,12,0)&amp;""</f>
        <v>Infrastructure</v>
      </c>
      <c r="F151" s="4" t="str">
        <f>VLOOKUP($A151,'Institution Evaluation'!$A$56:$K$345,3,0)&amp;""</f>
        <v>Yes</v>
      </c>
      <c r="G151" s="4" t="str">
        <f>VLOOKUP($A151,'Institution Evaluation'!$A$56:$K$345,7,0)&amp;""</f>
        <v>Yes</v>
      </c>
      <c r="H151" s="4" t="str">
        <f>VLOOKUP($A151,'Institution Evaluation'!$A$56:$K$345,8,0)&amp;""</f>
        <v/>
      </c>
      <c r="I151" s="4" t="str">
        <f>VLOOKUP($A151,'Institution Evaluation'!$A$56:$K$345,9,0)&amp;""</f>
        <v>Critical Importance</v>
      </c>
      <c r="J151" s="4" t="str">
        <f>VLOOKUP($A151,'Institution Evaluation'!$A$56:$K$345,10,0)&amp;""</f>
        <v/>
      </c>
      <c r="K151" s="4">
        <f>IF($I151='Auto Responses'!$J$11,20,IF($I151='Auto Responses'!$J$13,5,10))</f>
        <v>20</v>
      </c>
      <c r="L151" s="107">
        <f>IF($E151='Auto Responses'!$L$13, 'Auto Responses'!$J$5,IF(AND($D151='Auto Responses'!$J$27,$H151=""),'Auto Responses'!$J$5,IF(AND($D151='Auto Responses'!$J$27,$H151='Auto Responses'!$J$7),1,IF(AND($D151='Auto Responses'!$J$27,$H151='Auto Responses'!$J$8),0,IF(OR(AND($F151=$G151,$H151=""),$H151='Auto Responses'!$J$7),1,0)))))</f>
        <v>1</v>
      </c>
      <c r="M151" s="4" t="str">
        <f>VLOOKUP($A151,'Institution Evaluation'!$A$56:$K$345,11,0)&amp;""</f>
        <v>FALSE</v>
      </c>
      <c r="N151" s="4">
        <f>IF($J151='Auto Responses'!$J$11,1,IF(AND($J151="",$I151='Auto Responses'!$J$11),1,0))</f>
        <v>1</v>
      </c>
      <c r="O151" s="107">
        <f>IF(OR($F$17='Auto Responses'!$J$4,$E151='Auto Responses'!$L$13,$F151='Auto Responses'!$J$5),'Auto Responses'!$J$5,IF($J151="",$K151,IF($J151='Auto Responses'!$J$13,5,IF($J151='Auto Responses'!$J$12,10,IF($J151='Auto Responses'!$J$11,20,0)))))</f>
        <v>20</v>
      </c>
      <c r="P151" s="107">
        <f>IF(OR($O151='Auto Responses'!$J$5,$L151='Auto Responses'!$J$5),'Auto Responses'!$J$5,$O151*$L151)</f>
        <v>20</v>
      </c>
      <c r="Q151" s="107">
        <f t="shared" si="14"/>
        <v>0</v>
      </c>
      <c r="R151" s="107">
        <f t="shared" si="19"/>
        <v>0</v>
      </c>
      <c r="S151" s="107">
        <f t="shared" si="15"/>
        <v>0</v>
      </c>
      <c r="T151" s="107">
        <f t="shared" si="16"/>
        <v>1</v>
      </c>
      <c r="U151" s="107">
        <f t="shared" si="20"/>
        <v>45</v>
      </c>
      <c r="V151" s="107">
        <f t="shared" si="17"/>
        <v>45</v>
      </c>
    </row>
    <row r="152" spans="1:22" ht="55.2" x14ac:dyDescent="0.3">
      <c r="A152" s="4" t="str">
        <f>Questions!$A152</f>
        <v>FIDP-02</v>
      </c>
      <c r="B152" s="4" t="str">
        <f t="shared" si="18"/>
        <v>FIDP</v>
      </c>
      <c r="C152" s="4" t="str">
        <f>VLOOKUP($A152,Questions!$A$3:$L$333,2,0)&amp;""</f>
        <v>Do you have a documented policy for firewall change requests?*</v>
      </c>
      <c r="D152" s="4" t="str">
        <f>VLOOKUP($A152,Questions!$A$3:$L$333,11,0)&amp;""</f>
        <v/>
      </c>
      <c r="E152" s="4" t="str">
        <f>VLOOKUP($A152,Questions!$A$3:$L$333,12,0)&amp;""</f>
        <v>Infrastructure</v>
      </c>
      <c r="F152" s="4" t="str">
        <f>VLOOKUP($A152,'Institution Evaluation'!$A$56:$K$345,3,0)&amp;""</f>
        <v>Yes</v>
      </c>
      <c r="G152" s="4" t="str">
        <f>VLOOKUP($A152,'Institution Evaluation'!$A$56:$K$345,7,0)&amp;""</f>
        <v>Yes</v>
      </c>
      <c r="H152" s="4" t="str">
        <f>VLOOKUP($A152,'Institution Evaluation'!$A$56:$K$345,8,0)&amp;""</f>
        <v/>
      </c>
      <c r="I152" s="4" t="str">
        <f>VLOOKUP($A152,'Institution Evaluation'!$A$56:$K$345,9,0)&amp;""</f>
        <v>Critical Importance</v>
      </c>
      <c r="J152" s="4" t="str">
        <f>VLOOKUP($A152,'Institution Evaluation'!$A$56:$K$345,10,0)&amp;""</f>
        <v/>
      </c>
      <c r="K152" s="4">
        <f>IF($I152='Auto Responses'!$J$11,20,IF($I152='Auto Responses'!$J$13,5,10))</f>
        <v>20</v>
      </c>
      <c r="L152" s="107">
        <f>IF($E152='Auto Responses'!$L$13, 'Auto Responses'!$J$5,IF(AND($D152='Auto Responses'!$J$27,$H152=""),'Auto Responses'!$J$5,IF(AND($D152='Auto Responses'!$J$27,$H152='Auto Responses'!$J$7),1,IF(AND($D152='Auto Responses'!$J$27,$H152='Auto Responses'!$J$8),0,IF(OR(AND($F152=$G152,$H152=""),$H152='Auto Responses'!$J$7),1,0)))))</f>
        <v>1</v>
      </c>
      <c r="M152" s="4" t="str">
        <f>VLOOKUP($A152,'Institution Evaluation'!$A$56:$K$345,11,0)&amp;""</f>
        <v>FALSE</v>
      </c>
      <c r="N152" s="4">
        <f>IF($J152='Auto Responses'!$J$11,1,IF(AND($J152="",$I152='Auto Responses'!$J$11),1,0))</f>
        <v>1</v>
      </c>
      <c r="O152" s="107">
        <f>IF(OR($F$17='Auto Responses'!$J$4,$E152='Auto Responses'!$L$13,$F152='Auto Responses'!$J$5),'Auto Responses'!$J$5,IF($J152="",$K152,IF($J152='Auto Responses'!$J$13,5,IF($J152='Auto Responses'!$J$12,10,IF($J152='Auto Responses'!$J$11,20,0)))))</f>
        <v>20</v>
      </c>
      <c r="P152" s="107">
        <f>IF(OR($O152='Auto Responses'!$J$5,$L152='Auto Responses'!$J$5),'Auto Responses'!$J$5,$O152*$L152)</f>
        <v>20</v>
      </c>
      <c r="Q152" s="107">
        <f t="shared" si="14"/>
        <v>0</v>
      </c>
      <c r="R152" s="107">
        <f t="shared" si="19"/>
        <v>0</v>
      </c>
      <c r="S152" s="107">
        <f t="shared" si="15"/>
        <v>0</v>
      </c>
      <c r="T152" s="107">
        <f t="shared" si="16"/>
        <v>1</v>
      </c>
      <c r="U152" s="107">
        <f t="shared" si="20"/>
        <v>46</v>
      </c>
      <c r="V152" s="107">
        <f t="shared" si="17"/>
        <v>46</v>
      </c>
    </row>
    <row r="153" spans="1:22" ht="55.2" x14ac:dyDescent="0.3">
      <c r="A153" s="4" t="str">
        <f>Questions!$A153</f>
        <v>FIDP-03</v>
      </c>
      <c r="B153" s="4" t="str">
        <f t="shared" si="18"/>
        <v>FIDP</v>
      </c>
      <c r="C153" s="4" t="str">
        <f>VLOOKUP($A153,Questions!$A$3:$L$333,2,0)&amp;""</f>
        <v>Have you implemented an intrusion detection system (network-based)?*</v>
      </c>
      <c r="D153" s="4" t="str">
        <f>VLOOKUP($A153,Questions!$A$3:$L$333,11,0)&amp;""</f>
        <v/>
      </c>
      <c r="E153" s="4" t="str">
        <f>VLOOKUP($A153,Questions!$A$3:$L$333,12,0)&amp;""</f>
        <v>Infrastructure</v>
      </c>
      <c r="F153" s="4" t="str">
        <f>VLOOKUP($A153,'Institution Evaluation'!$A$56:$K$345,3,0)&amp;""</f>
        <v>No</v>
      </c>
      <c r="G153" s="4" t="str">
        <f>VLOOKUP($A153,'Institution Evaluation'!$A$56:$K$345,7,0)&amp;""</f>
        <v>Yes</v>
      </c>
      <c r="H153" s="4" t="str">
        <f>VLOOKUP($A153,'Institution Evaluation'!$A$56:$K$345,8,0)&amp;""</f>
        <v/>
      </c>
      <c r="I153" s="4" t="str">
        <f>VLOOKUP($A153,'Institution Evaluation'!$A$56:$K$345,9,0)&amp;""</f>
        <v>Critical Importance</v>
      </c>
      <c r="J153" s="4" t="str">
        <f>VLOOKUP($A153,'Institution Evaluation'!$A$56:$K$345,10,0)&amp;""</f>
        <v/>
      </c>
      <c r="K153" s="4">
        <f>IF($I153='Auto Responses'!$J$11,20,IF($I153='Auto Responses'!$J$13,5,10))</f>
        <v>20</v>
      </c>
      <c r="L153" s="107">
        <f>IF($E153='Auto Responses'!$L$13, 'Auto Responses'!$J$5,IF(AND($D153='Auto Responses'!$J$27,$H153=""),'Auto Responses'!$J$5,IF(AND($D153='Auto Responses'!$J$27,$H153='Auto Responses'!$J$7),1,IF(AND($D153='Auto Responses'!$J$27,$H153='Auto Responses'!$J$8),0,IF(OR(AND($F153=$G153,$H153=""),$H153='Auto Responses'!$J$7),1,0)))))</f>
        <v>0</v>
      </c>
      <c r="M153" s="4" t="str">
        <f>VLOOKUP($A153,'Institution Evaluation'!$A$56:$K$345,11,0)&amp;""</f>
        <v>FALSE</v>
      </c>
      <c r="N153" s="4">
        <f>IF($J153='Auto Responses'!$J$11,1,IF(AND($J153="",$I153='Auto Responses'!$J$11),1,0))</f>
        <v>1</v>
      </c>
      <c r="O153" s="107">
        <f>IF(OR($F$17='Auto Responses'!$J$4,$E153='Auto Responses'!$L$13,$F153='Auto Responses'!$J$5),'Auto Responses'!$J$5,IF($J153="",$K153,IF($J153='Auto Responses'!$J$13,5,IF($J153='Auto Responses'!$J$12,10,IF($J153='Auto Responses'!$J$11,20,0)))))</f>
        <v>20</v>
      </c>
      <c r="P153" s="107">
        <f>IF(OR($O153='Auto Responses'!$J$5,$L153='Auto Responses'!$J$5),'Auto Responses'!$J$5,$O153*$L153)</f>
        <v>0</v>
      </c>
      <c r="Q153" s="107">
        <f t="shared" si="14"/>
        <v>0</v>
      </c>
      <c r="R153" s="107">
        <f t="shared" si="19"/>
        <v>0</v>
      </c>
      <c r="S153" s="107">
        <f t="shared" si="15"/>
        <v>0</v>
      </c>
      <c r="T153" s="107">
        <f t="shared" si="16"/>
        <v>1</v>
      </c>
      <c r="U153" s="107">
        <f t="shared" si="20"/>
        <v>47</v>
      </c>
      <c r="V153" s="107">
        <f t="shared" si="17"/>
        <v>47</v>
      </c>
    </row>
    <row r="154" spans="1:22" ht="55.2" x14ac:dyDescent="0.3">
      <c r="A154" s="4" t="str">
        <f>Questions!$A154</f>
        <v>FIDP-04</v>
      </c>
      <c r="B154" s="4" t="str">
        <f t="shared" si="18"/>
        <v>FIDP</v>
      </c>
      <c r="C154" s="4" t="str">
        <f>VLOOKUP($A154,Questions!$A$3:$L$333,2,0)&amp;""</f>
        <v>Do you employ host-based intrusion detection?*</v>
      </c>
      <c r="D154" s="4" t="str">
        <f>VLOOKUP($A154,Questions!$A$3:$L$333,11,0)&amp;""</f>
        <v/>
      </c>
      <c r="E154" s="4" t="str">
        <f>VLOOKUP($A154,Questions!$A$3:$L$333,12,0)&amp;""</f>
        <v>Infrastructure</v>
      </c>
      <c r="F154" s="4" t="str">
        <f>VLOOKUP($A154,'Institution Evaluation'!$A$56:$K$345,3,0)&amp;""</f>
        <v>No</v>
      </c>
      <c r="G154" s="4" t="str">
        <f>VLOOKUP($A154,'Institution Evaluation'!$A$56:$K$345,7,0)&amp;""</f>
        <v>Yes</v>
      </c>
      <c r="H154" s="4" t="str">
        <f>VLOOKUP($A154,'Institution Evaluation'!$A$56:$K$345,8,0)&amp;""</f>
        <v/>
      </c>
      <c r="I154" s="4" t="str">
        <f>VLOOKUP($A154,'Institution Evaluation'!$A$56:$K$345,9,0)&amp;""</f>
        <v>Critical Importance</v>
      </c>
      <c r="J154" s="4" t="str">
        <f>VLOOKUP($A154,'Institution Evaluation'!$A$56:$K$345,10,0)&amp;""</f>
        <v/>
      </c>
      <c r="K154" s="4">
        <f>IF($I154='Auto Responses'!$J$11,20,IF($I154='Auto Responses'!$J$13,5,10))</f>
        <v>20</v>
      </c>
      <c r="L154" s="107">
        <f>IF($E154='Auto Responses'!$L$13, 'Auto Responses'!$J$5,IF(AND($D154='Auto Responses'!$J$27,$H154=""),'Auto Responses'!$J$5,IF(AND($D154='Auto Responses'!$J$27,$H154='Auto Responses'!$J$7),1,IF(AND($D154='Auto Responses'!$J$27,$H154='Auto Responses'!$J$8),0,IF(OR(AND($F154=$G154,$H154=""),$H154='Auto Responses'!$J$7),1,0)))))</f>
        <v>0</v>
      </c>
      <c r="M154" s="4" t="str">
        <f>VLOOKUP($A154,'Institution Evaluation'!$A$56:$K$345,11,0)&amp;""</f>
        <v>FALSE</v>
      </c>
      <c r="N154" s="4">
        <f>IF($J154='Auto Responses'!$J$11,1,IF(AND($J154="",$I154='Auto Responses'!$J$11),1,0))</f>
        <v>1</v>
      </c>
      <c r="O154" s="107">
        <f>IF(OR($F$17='Auto Responses'!$J$4,$E154='Auto Responses'!$L$13,$F154='Auto Responses'!$J$5),'Auto Responses'!$J$5,IF($J154="",$K154,IF($J154='Auto Responses'!$J$13,5,IF($J154='Auto Responses'!$J$12,10,IF($J154='Auto Responses'!$J$11,20,0)))))</f>
        <v>20</v>
      </c>
      <c r="P154" s="107">
        <f>IF(OR($O154='Auto Responses'!$J$5,$L154='Auto Responses'!$J$5),'Auto Responses'!$J$5,$O154*$L154)</f>
        <v>0</v>
      </c>
      <c r="Q154" s="107">
        <f t="shared" si="14"/>
        <v>0</v>
      </c>
      <c r="R154" s="107">
        <f t="shared" si="19"/>
        <v>0</v>
      </c>
      <c r="S154" s="107">
        <f t="shared" si="15"/>
        <v>0</v>
      </c>
      <c r="T154" s="107">
        <f t="shared" si="16"/>
        <v>1</v>
      </c>
      <c r="U154" s="107">
        <f t="shared" si="20"/>
        <v>48</v>
      </c>
      <c r="V154" s="107">
        <f t="shared" si="17"/>
        <v>48</v>
      </c>
    </row>
    <row r="155" spans="1:22" ht="55.2" x14ac:dyDescent="0.3">
      <c r="A155" s="4" t="str">
        <f>Questions!$A155</f>
        <v>FIDP-05</v>
      </c>
      <c r="B155" s="4" t="str">
        <f t="shared" si="18"/>
        <v>FIDP</v>
      </c>
      <c r="C155" s="4" t="str">
        <f>VLOOKUP($A155,Questions!$A$3:$L$333,2,0)&amp;""</f>
        <v>Are audit logs available for all changes to the network, firewall, IDS, and IPS systems?*</v>
      </c>
      <c r="D155" s="4" t="str">
        <f>VLOOKUP($A155,Questions!$A$3:$L$333,11,0)&amp;""</f>
        <v/>
      </c>
      <c r="E155" s="4" t="str">
        <f>VLOOKUP($A155,Questions!$A$3:$L$333,12,0)&amp;""</f>
        <v>Infrastructure</v>
      </c>
      <c r="F155" s="4" t="str">
        <f>VLOOKUP($A155,'Institution Evaluation'!$A$56:$K$345,3,0)&amp;""</f>
        <v>Yes</v>
      </c>
      <c r="G155" s="4" t="str">
        <f>VLOOKUP($A155,'Institution Evaluation'!$A$56:$K$345,7,0)&amp;""</f>
        <v>Yes</v>
      </c>
      <c r="H155" s="4" t="str">
        <f>VLOOKUP($A155,'Institution Evaluation'!$A$56:$K$345,8,0)&amp;""</f>
        <v/>
      </c>
      <c r="I155" s="4" t="str">
        <f>VLOOKUP($A155,'Institution Evaluation'!$A$56:$K$345,9,0)&amp;""</f>
        <v>Critical Importance</v>
      </c>
      <c r="J155" s="4" t="str">
        <f>VLOOKUP($A155,'Institution Evaluation'!$A$56:$K$345,10,0)&amp;""</f>
        <v/>
      </c>
      <c r="K155" s="4">
        <f>IF($I155='Auto Responses'!$J$11,20,IF($I155='Auto Responses'!$J$13,5,10))</f>
        <v>20</v>
      </c>
      <c r="L155" s="107">
        <f>IF($E155='Auto Responses'!$L$13, 'Auto Responses'!$J$5,IF(AND($D155='Auto Responses'!$J$27,$H155=""),'Auto Responses'!$J$5,IF(AND($D155='Auto Responses'!$J$27,$H155='Auto Responses'!$J$7),1,IF(AND($D155='Auto Responses'!$J$27,$H155='Auto Responses'!$J$8),0,IF(OR(AND($F155=$G155,$H155=""),$H155='Auto Responses'!$J$7),1,0)))))</f>
        <v>1</v>
      </c>
      <c r="M155" s="4" t="str">
        <f>VLOOKUP($A155,'Institution Evaluation'!$A$56:$K$345,11,0)&amp;""</f>
        <v>FALSE</v>
      </c>
      <c r="N155" s="4">
        <f>IF($J155='Auto Responses'!$J$11,1,IF(AND($J155="",$I155='Auto Responses'!$J$11),1,0))</f>
        <v>1</v>
      </c>
      <c r="O155" s="107">
        <f>IF(OR($F$17='Auto Responses'!$J$4,$E155='Auto Responses'!$L$13,$F155='Auto Responses'!$J$5),'Auto Responses'!$J$5,IF($J155="",$K155,IF($J155='Auto Responses'!$J$13,5,IF($J155='Auto Responses'!$J$12,10,IF($J155='Auto Responses'!$J$11,20,0)))))</f>
        <v>20</v>
      </c>
      <c r="P155" s="107">
        <f>IF(OR($O155='Auto Responses'!$J$5,$L155='Auto Responses'!$J$5),'Auto Responses'!$J$5,$O155*$L155)</f>
        <v>20</v>
      </c>
      <c r="Q155" s="107">
        <f t="shared" si="14"/>
        <v>0</v>
      </c>
      <c r="R155" s="107">
        <f t="shared" si="19"/>
        <v>0</v>
      </c>
      <c r="S155" s="107">
        <f t="shared" si="15"/>
        <v>0</v>
      </c>
      <c r="T155" s="107">
        <f t="shared" si="16"/>
        <v>1</v>
      </c>
      <c r="U155" s="107">
        <f t="shared" si="20"/>
        <v>49</v>
      </c>
      <c r="V155" s="107">
        <f t="shared" si="17"/>
        <v>49</v>
      </c>
    </row>
    <row r="156" spans="1:22" ht="55.2" x14ac:dyDescent="0.3">
      <c r="A156" s="4" t="str">
        <f>Questions!$A156</f>
        <v>FIDP-06</v>
      </c>
      <c r="B156" s="4" t="str">
        <f t="shared" si="18"/>
        <v>FIDP</v>
      </c>
      <c r="C156" s="4" t="str">
        <f>VLOOKUP($A156,Questions!$A$3:$L$333,2,0)&amp;""</f>
        <v>Is authority for firewall change approval documented? Please list approver names or titles in Additional Info.</v>
      </c>
      <c r="D156" s="4" t="str">
        <f>VLOOKUP($A156,Questions!$A$3:$L$333,11,0)&amp;""</f>
        <v/>
      </c>
      <c r="E156" s="4" t="str">
        <f>VLOOKUP($A156,Questions!$A$3:$L$333,12,0)&amp;""</f>
        <v>Infrastructure</v>
      </c>
      <c r="F156" s="4" t="str">
        <f>VLOOKUP($A156,'Institution Evaluation'!$A$56:$K$345,3,0)&amp;""</f>
        <v>Yes</v>
      </c>
      <c r="G156" s="4" t="str">
        <f>VLOOKUP($A156,'Institution Evaluation'!$A$56:$K$345,7,0)&amp;""</f>
        <v>Yes</v>
      </c>
      <c r="H156" s="4" t="str">
        <f>VLOOKUP($A156,'Institution Evaluation'!$A$56:$K$345,8,0)&amp;""</f>
        <v/>
      </c>
      <c r="I156" s="4" t="str">
        <f>VLOOKUP($A156,'Institution Evaluation'!$A$56:$K$345,9,0)&amp;""</f>
        <v>Standard Importance</v>
      </c>
      <c r="J156" s="4" t="str">
        <f>VLOOKUP($A156,'Institution Evaluation'!$A$56:$K$345,10,0)&amp;""</f>
        <v/>
      </c>
      <c r="K156" s="4">
        <f>IF($I156='Auto Responses'!$J$11,20,IF($I156='Auto Responses'!$J$13,5,10))</f>
        <v>10</v>
      </c>
      <c r="L156" s="107">
        <f>IF($E156='Auto Responses'!$L$13, 'Auto Responses'!$J$5,IF(AND($D156='Auto Responses'!$J$27,$H156=""),'Auto Responses'!$J$5,IF(AND($D156='Auto Responses'!$J$27,$H156='Auto Responses'!$J$7),1,IF(AND($D156='Auto Responses'!$J$27,$H156='Auto Responses'!$J$8),0,IF(OR(AND($F156=$G156,$H156=""),$H156='Auto Responses'!$J$7),1,0)))))</f>
        <v>1</v>
      </c>
      <c r="M156" s="4" t="str">
        <f>VLOOKUP($A156,'Institution Evaluation'!$A$56:$K$345,11,0)&amp;""</f>
        <v>FALSE</v>
      </c>
      <c r="N156" s="4">
        <f>IF($J156='Auto Responses'!$J$11,1,IF(AND($J156="",$I156='Auto Responses'!$J$11),1,0))</f>
        <v>0</v>
      </c>
      <c r="O156" s="107">
        <f>IF(OR($F$17='Auto Responses'!$J$4,$E156='Auto Responses'!$L$13,$F156='Auto Responses'!$J$5),'Auto Responses'!$J$5,IF($J156="",$K156,IF($J156='Auto Responses'!$J$13,5,IF($J156='Auto Responses'!$J$12,10,IF($J156='Auto Responses'!$J$11,20,0)))))</f>
        <v>10</v>
      </c>
      <c r="P156" s="107">
        <f>IF(OR($O156='Auto Responses'!$J$5,$L156='Auto Responses'!$J$5),'Auto Responses'!$J$5,$O156*$L156)</f>
        <v>10</v>
      </c>
      <c r="Q156" s="107">
        <f t="shared" si="14"/>
        <v>0</v>
      </c>
      <c r="R156" s="107">
        <f t="shared" si="19"/>
        <v>0</v>
      </c>
      <c r="S156" s="107">
        <f t="shared" si="15"/>
        <v>0</v>
      </c>
      <c r="T156" s="107">
        <f t="shared" si="16"/>
        <v>0</v>
      </c>
      <c r="U156" s="107">
        <f t="shared" si="20"/>
        <v>49</v>
      </c>
      <c r="V156" s="107">
        <f t="shared" si="17"/>
        <v>0</v>
      </c>
    </row>
    <row r="157" spans="1:22" ht="55.2" x14ac:dyDescent="0.3">
      <c r="A157" s="4" t="str">
        <f>Questions!$A157</f>
        <v>FIDP-07</v>
      </c>
      <c r="B157" s="4" t="str">
        <f t="shared" si="18"/>
        <v>FIDP</v>
      </c>
      <c r="C157" s="4" t="str">
        <f>VLOOKUP($A157,Questions!$A$3:$L$333,2,0)&amp;""</f>
        <v>Have you implemented an intrusion prevention system (network-based)?</v>
      </c>
      <c r="D157" s="4" t="str">
        <f>VLOOKUP($A157,Questions!$A$3:$L$333,11,0)&amp;""</f>
        <v/>
      </c>
      <c r="E157" s="4" t="str">
        <f>VLOOKUP($A157,Questions!$A$3:$L$333,12,0)&amp;""</f>
        <v>Infrastructure</v>
      </c>
      <c r="F157" s="4" t="str">
        <f>VLOOKUP($A157,'Institution Evaluation'!$A$56:$K$345,3,0)&amp;""</f>
        <v>No</v>
      </c>
      <c r="G157" s="4" t="str">
        <f>VLOOKUP($A157,'Institution Evaluation'!$A$56:$K$345,7,0)&amp;""</f>
        <v>Yes</v>
      </c>
      <c r="H157" s="4" t="str">
        <f>VLOOKUP($A157,'Institution Evaluation'!$A$56:$K$345,8,0)&amp;""</f>
        <v/>
      </c>
      <c r="I157" s="4" t="str">
        <f>VLOOKUP($A157,'Institution Evaluation'!$A$56:$K$345,9,0)&amp;""</f>
        <v>Standard Importance</v>
      </c>
      <c r="J157" s="4" t="str">
        <f>VLOOKUP($A157,'Institution Evaluation'!$A$56:$K$345,10,0)&amp;""</f>
        <v/>
      </c>
      <c r="K157" s="4">
        <f>IF($I157='Auto Responses'!$J$11,20,IF($I157='Auto Responses'!$J$13,5,10))</f>
        <v>10</v>
      </c>
      <c r="L157" s="107">
        <f>IF($E157='Auto Responses'!$L$13, 'Auto Responses'!$J$5,IF(AND($D157='Auto Responses'!$J$27,$H157=""),'Auto Responses'!$J$5,IF(AND($D157='Auto Responses'!$J$27,$H157='Auto Responses'!$J$7),1,IF(AND($D157='Auto Responses'!$J$27,$H157='Auto Responses'!$J$8),0,IF(OR(AND($F157=$G157,$H157=""),$H157='Auto Responses'!$J$7),1,0)))))</f>
        <v>0</v>
      </c>
      <c r="M157" s="4" t="str">
        <f>VLOOKUP($A157,'Institution Evaluation'!$A$56:$K$345,11,0)&amp;""</f>
        <v>FALSE</v>
      </c>
      <c r="N157" s="4">
        <f>IF($J157='Auto Responses'!$J$11,1,IF(AND($J157="",$I157='Auto Responses'!$J$11),1,0))</f>
        <v>0</v>
      </c>
      <c r="O157" s="107">
        <f>IF(OR($F$17='Auto Responses'!$J$4,$E157='Auto Responses'!$L$13,$F157='Auto Responses'!$J$5),'Auto Responses'!$J$5,IF($J157="",$K157,IF($J157='Auto Responses'!$J$13,5,IF($J157='Auto Responses'!$J$12,10,IF($J157='Auto Responses'!$J$11,20,0)))))</f>
        <v>10</v>
      </c>
      <c r="P157" s="107">
        <f>IF(OR($O157='Auto Responses'!$J$5,$L157='Auto Responses'!$J$5),'Auto Responses'!$J$5,$O157*$L157)</f>
        <v>0</v>
      </c>
      <c r="Q157" s="107">
        <f t="shared" si="14"/>
        <v>0</v>
      </c>
      <c r="R157" s="107">
        <f t="shared" si="19"/>
        <v>0</v>
      </c>
      <c r="S157" s="107">
        <f t="shared" si="15"/>
        <v>0</v>
      </c>
      <c r="T157" s="107">
        <f t="shared" si="16"/>
        <v>0</v>
      </c>
      <c r="U157" s="107">
        <f t="shared" si="20"/>
        <v>49</v>
      </c>
      <c r="V157" s="107">
        <f t="shared" si="17"/>
        <v>0</v>
      </c>
    </row>
    <row r="158" spans="1:22" ht="55.2" x14ac:dyDescent="0.3">
      <c r="A158" s="4" t="str">
        <f>Questions!$A158</f>
        <v>FIDP-08</v>
      </c>
      <c r="B158" s="4" t="str">
        <f t="shared" si="18"/>
        <v>FIDP</v>
      </c>
      <c r="C158" s="4" t="str">
        <f>VLOOKUP($A158,Questions!$A$3:$L$333,2,0)&amp;""</f>
        <v>Do you employ host-based intrusion prevention?</v>
      </c>
      <c r="D158" s="4" t="str">
        <f>VLOOKUP($A158,Questions!$A$3:$L$333,11,0)&amp;""</f>
        <v/>
      </c>
      <c r="E158" s="4" t="str">
        <f>VLOOKUP($A158,Questions!$A$3:$L$333,12,0)&amp;""</f>
        <v>Infrastructure</v>
      </c>
      <c r="F158" s="4" t="str">
        <f>VLOOKUP($A158,'Institution Evaluation'!$A$56:$K$345,3,0)&amp;""</f>
        <v>No</v>
      </c>
      <c r="G158" s="4" t="str">
        <f>VLOOKUP($A158,'Institution Evaluation'!$A$56:$K$345,7,0)&amp;""</f>
        <v>Yes</v>
      </c>
      <c r="H158" s="4" t="str">
        <f>VLOOKUP($A158,'Institution Evaluation'!$A$56:$K$345,8,0)&amp;""</f>
        <v/>
      </c>
      <c r="I158" s="4" t="str">
        <f>VLOOKUP($A158,'Institution Evaluation'!$A$56:$K$345,9,0)&amp;""</f>
        <v>Standard Importance</v>
      </c>
      <c r="J158" s="4" t="str">
        <f>VLOOKUP($A158,'Institution Evaluation'!$A$56:$K$345,10,0)&amp;""</f>
        <v/>
      </c>
      <c r="K158" s="4">
        <f>IF($I158='Auto Responses'!$J$11,20,IF($I158='Auto Responses'!$J$13,5,10))</f>
        <v>10</v>
      </c>
      <c r="L158" s="107">
        <f>IF($E158='Auto Responses'!$L$13, 'Auto Responses'!$J$5,IF(AND($D158='Auto Responses'!$J$27,$H158=""),'Auto Responses'!$J$5,IF(AND($D158='Auto Responses'!$J$27,$H158='Auto Responses'!$J$7),1,IF(AND($D158='Auto Responses'!$J$27,$H158='Auto Responses'!$J$8),0,IF(OR(AND($F158=$G158,$H158=""),$H158='Auto Responses'!$J$7),1,0)))))</f>
        <v>0</v>
      </c>
      <c r="M158" s="4" t="str">
        <f>VLOOKUP($A158,'Institution Evaluation'!$A$56:$K$345,11,0)&amp;""</f>
        <v>FALSE</v>
      </c>
      <c r="N158" s="4">
        <f>IF($J158='Auto Responses'!$J$11,1,IF(AND($J158="",$I158='Auto Responses'!$J$11),1,0))</f>
        <v>0</v>
      </c>
      <c r="O158" s="107">
        <f>IF(OR($F$17='Auto Responses'!$J$4,$E158='Auto Responses'!$L$13,$F158='Auto Responses'!$J$5),'Auto Responses'!$J$5,IF($J158="",$K158,IF($J158='Auto Responses'!$J$13,5,IF($J158='Auto Responses'!$J$12,10,IF($J158='Auto Responses'!$J$11,20,0)))))</f>
        <v>10</v>
      </c>
      <c r="P158" s="107">
        <f>IF(OR($O158='Auto Responses'!$J$5,$L158='Auto Responses'!$J$5),'Auto Responses'!$J$5,$O158*$L158)</f>
        <v>0</v>
      </c>
      <c r="Q158" s="107">
        <f t="shared" si="14"/>
        <v>0</v>
      </c>
      <c r="R158" s="107">
        <f t="shared" si="19"/>
        <v>0</v>
      </c>
      <c r="S158" s="107">
        <f t="shared" si="15"/>
        <v>0</v>
      </c>
      <c r="T158" s="107">
        <f t="shared" si="16"/>
        <v>0</v>
      </c>
      <c r="U158" s="107">
        <f t="shared" si="20"/>
        <v>49</v>
      </c>
      <c r="V158" s="107">
        <f t="shared" si="17"/>
        <v>0</v>
      </c>
    </row>
    <row r="159" spans="1:22" ht="55.2" x14ac:dyDescent="0.3">
      <c r="A159" s="4" t="str">
        <f>Questions!$A159</f>
        <v>FIDP-09</v>
      </c>
      <c r="B159" s="4" t="str">
        <f t="shared" si="18"/>
        <v>FIDP</v>
      </c>
      <c r="C159" s="4" t="str">
        <f>VLOOKUP($A159,Questions!$A$3:$L$333,2,0)&amp;""</f>
        <v>Are you employing any next-generation persistent threat (NGPT) monitoring?</v>
      </c>
      <c r="D159" s="4" t="str">
        <f>VLOOKUP($A159,Questions!$A$3:$L$333,11,0)&amp;""</f>
        <v/>
      </c>
      <c r="E159" s="4" t="str">
        <f>VLOOKUP($A159,Questions!$A$3:$L$333,12,0)&amp;""</f>
        <v>Infrastructure</v>
      </c>
      <c r="F159" s="4" t="str">
        <f>VLOOKUP($A159,'Institution Evaluation'!$A$56:$K$345,3,0)&amp;""</f>
        <v>No</v>
      </c>
      <c r="G159" s="4" t="str">
        <f>VLOOKUP($A159,'Institution Evaluation'!$A$56:$K$345,7,0)&amp;""</f>
        <v>Yes</v>
      </c>
      <c r="H159" s="4" t="str">
        <f>VLOOKUP($A159,'Institution Evaluation'!$A$56:$K$345,8,0)&amp;""</f>
        <v/>
      </c>
      <c r="I159" s="4" t="str">
        <f>VLOOKUP($A159,'Institution Evaluation'!$A$56:$K$345,9,0)&amp;""</f>
        <v>Standard Importance</v>
      </c>
      <c r="J159" s="4" t="str">
        <f>VLOOKUP($A159,'Institution Evaluation'!$A$56:$K$345,10,0)&amp;""</f>
        <v/>
      </c>
      <c r="K159" s="4">
        <f>IF($I159='Auto Responses'!$J$11,20,IF($I159='Auto Responses'!$J$13,5,10))</f>
        <v>10</v>
      </c>
      <c r="L159" s="107">
        <f>IF($E159='Auto Responses'!$L$13, 'Auto Responses'!$J$5,IF(AND($D159='Auto Responses'!$J$27,$H159=""),'Auto Responses'!$J$5,IF(AND($D159='Auto Responses'!$J$27,$H159='Auto Responses'!$J$7),1,IF(AND($D159='Auto Responses'!$J$27,$H159='Auto Responses'!$J$8),0,IF(OR(AND($F159=$G159,$H159=""),$H159='Auto Responses'!$J$7),1,0)))))</f>
        <v>0</v>
      </c>
      <c r="M159" s="4" t="str">
        <f>VLOOKUP($A159,'Institution Evaluation'!$A$56:$K$345,11,0)&amp;""</f>
        <v>FALSE</v>
      </c>
      <c r="N159" s="4">
        <f>IF($J159='Auto Responses'!$J$11,1,IF(AND($J159="",$I159='Auto Responses'!$J$11),1,0))</f>
        <v>0</v>
      </c>
      <c r="O159" s="107">
        <f>IF(OR($F$17='Auto Responses'!$J$4,$E159='Auto Responses'!$L$13,$F159='Auto Responses'!$J$5),'Auto Responses'!$J$5,IF($J159="",$K159,IF($J159='Auto Responses'!$J$13,5,IF($J159='Auto Responses'!$J$12,10,IF($J159='Auto Responses'!$J$11,20,0)))))</f>
        <v>10</v>
      </c>
      <c r="P159" s="107">
        <f>IF(OR($O159='Auto Responses'!$J$5,$L159='Auto Responses'!$J$5),'Auto Responses'!$J$5,$O159*$L159)</f>
        <v>0</v>
      </c>
      <c r="Q159" s="107">
        <f t="shared" si="14"/>
        <v>0</v>
      </c>
      <c r="R159" s="107">
        <f t="shared" si="19"/>
        <v>0</v>
      </c>
      <c r="S159" s="107">
        <f t="shared" si="15"/>
        <v>0</v>
      </c>
      <c r="T159" s="107">
        <f t="shared" si="16"/>
        <v>0</v>
      </c>
      <c r="U159" s="107">
        <f t="shared" si="20"/>
        <v>49</v>
      </c>
      <c r="V159" s="107">
        <f t="shared" si="17"/>
        <v>0</v>
      </c>
    </row>
    <row r="160" spans="1:22" ht="409.6" x14ac:dyDescent="0.3">
      <c r="A160" s="4" t="str">
        <f>Questions!$A160</f>
        <v>FIDP-10</v>
      </c>
      <c r="B160" s="4" t="str">
        <f t="shared" si="18"/>
        <v>FIDP</v>
      </c>
      <c r="C160" s="4" t="str">
        <f>VLOOKUP($A160,Questions!$A$3:$L$333,2,0)&amp;""</f>
        <v>Is intrusion monitoring performed internally or by a third-party service?</v>
      </c>
      <c r="D160" s="4" t="str">
        <f>VLOOKUP($A160,Questions!$A$3:$L$333,11,0)&amp;""</f>
        <v/>
      </c>
      <c r="E160" s="4" t="str">
        <f>VLOOKUP($A160,Questions!$A$3:$L$333,12,0)&amp;""</f>
        <v>Not scored</v>
      </c>
      <c r="F160" s="4" t="str">
        <f>VLOOKUP($A160,'Institution Evaluation'!$A$56:$K$345,3,0)&amp;""</f>
        <v xml:space="preserve">Intrusion monitoring is performed internally by Cursive, leveraging AWS-native managed services (CloudTrail, Network Firewall, Security Groups). Once AWS GuardDuty is enabled, monitoring will combine AWS-managed threat detection (functionally equivalent to a managed third-party service) with internal review and response by Cursive personnel. Cursive does not currently engage a dedicated third-party Managed Detection and Response (MDR) provider; for institutions requiring 24x7 third-party SOC monitoring, this can be evaluated as part of an institutional engagement.
</v>
      </c>
      <c r="G160" s="4" t="str">
        <f>VLOOKUP($A160,'Institution Evaluation'!$A$56:$K$345,7,0)&amp;""</f>
        <v>Not scored</v>
      </c>
      <c r="H160" s="4" t="str">
        <f>VLOOKUP($A160,'Institution Evaluation'!$A$56:$K$345,8,0)&amp;""</f>
        <v/>
      </c>
      <c r="I160" s="4" t="str">
        <f>VLOOKUP($A160,'Institution Evaluation'!$A$56:$K$345,9,0)&amp;""</f>
        <v/>
      </c>
      <c r="J160" s="4" t="str">
        <f>VLOOKUP($A160,'Institution Evaluation'!$A$56:$K$345,10,0)&amp;""</f>
        <v/>
      </c>
      <c r="K160" s="4">
        <f>IF($I160='Auto Responses'!$J$11,20,IF($I160='Auto Responses'!$J$13,5,10))</f>
        <v>10</v>
      </c>
      <c r="L160" s="107" t="str">
        <f>IF($E160='Auto Responses'!$L$13, 'Auto Responses'!$J$5,IF(AND($D160='Auto Responses'!$J$27,$H160=""),'Auto Responses'!$J$5,IF(AND($D160='Auto Responses'!$J$27,$H160='Auto Responses'!$J$7),1,IF(AND($D160='Auto Responses'!$J$27,$H160='Auto Responses'!$J$8),0,IF(OR(AND($F160=$G160,$H160=""),$H160='Auto Responses'!$J$7),1,0)))))</f>
        <v>N/A</v>
      </c>
      <c r="M160" s="4" t="str">
        <f>VLOOKUP($A160,'Institution Evaluation'!$A$56:$K$345,11,0)&amp;""</f>
        <v>FALSE</v>
      </c>
      <c r="N160" s="4">
        <f>IF($J160='Auto Responses'!$J$11,1,IF(AND($J160="",$I160='Auto Responses'!$J$11),1,0))</f>
        <v>0</v>
      </c>
      <c r="O160" s="107" t="str">
        <f>IF(OR($F$17='Auto Responses'!$J$4,$E160='Auto Responses'!$L$13,$F160='Auto Responses'!$J$5),'Auto Responses'!$J$5,IF($J160="",$K160,IF($J160='Auto Responses'!$J$13,5,IF($J160='Auto Responses'!$J$12,10,IF($J160='Auto Responses'!$J$11,20,0)))))</f>
        <v>N/A</v>
      </c>
      <c r="P160" s="107" t="str">
        <f>IF(OR($O160='Auto Responses'!$J$5,$L160='Auto Responses'!$J$5),'Auto Responses'!$J$5,$O160*$L160)</f>
        <v>N/A</v>
      </c>
      <c r="Q160" s="107">
        <f t="shared" si="14"/>
        <v>0</v>
      </c>
      <c r="R160" s="107">
        <f t="shared" si="19"/>
        <v>0</v>
      </c>
      <c r="S160" s="107">
        <f t="shared" si="15"/>
        <v>0</v>
      </c>
      <c r="T160" s="107">
        <f t="shared" si="16"/>
        <v>0</v>
      </c>
      <c r="U160" s="107">
        <f t="shared" si="20"/>
        <v>49</v>
      </c>
      <c r="V160" s="107">
        <f t="shared" si="17"/>
        <v>0</v>
      </c>
    </row>
    <row r="161" spans="1:22" ht="55.2" x14ac:dyDescent="0.3">
      <c r="A161" s="4" t="str">
        <f>Questions!$A161</f>
        <v>FIDP-11</v>
      </c>
      <c r="B161" s="4" t="str">
        <f t="shared" si="18"/>
        <v>FIDP</v>
      </c>
      <c r="C161" s="4" t="str">
        <f>VLOOKUP($A161,Questions!$A$3:$L$333,2,0)&amp;""</f>
        <v>Do you monitor for intrusions on a 24 x 7 x 365 basis?</v>
      </c>
      <c r="D161" s="4" t="str">
        <f>VLOOKUP($A161,Questions!$A$3:$L$333,11,0)&amp;""</f>
        <v/>
      </c>
      <c r="E161" s="4" t="str">
        <f>VLOOKUP($A161,Questions!$A$3:$L$333,12,0)&amp;""</f>
        <v>Infrastructure</v>
      </c>
      <c r="F161" s="4" t="str">
        <f>VLOOKUP($A161,'Institution Evaluation'!$A$56:$K$345,3,0)&amp;""</f>
        <v>No</v>
      </c>
      <c r="G161" s="4" t="str">
        <f>VLOOKUP($A161,'Institution Evaluation'!$A$56:$K$345,7,0)&amp;""</f>
        <v>Yes</v>
      </c>
      <c r="H161" s="4" t="str">
        <f>VLOOKUP($A161,'Institution Evaluation'!$A$56:$K$345,8,0)&amp;""</f>
        <v/>
      </c>
      <c r="I161" s="4" t="str">
        <f>VLOOKUP($A161,'Institution Evaluation'!$A$56:$K$345,9,0)&amp;""</f>
        <v>Minor Importance</v>
      </c>
      <c r="J161" s="4" t="str">
        <f>VLOOKUP($A161,'Institution Evaluation'!$A$56:$K$345,10,0)&amp;""</f>
        <v/>
      </c>
      <c r="K161" s="4">
        <f>IF($I161='Auto Responses'!$J$11,20,IF($I161='Auto Responses'!$J$13,5,10))</f>
        <v>5</v>
      </c>
      <c r="L161" s="107">
        <f>IF($E161='Auto Responses'!$L$13, 'Auto Responses'!$J$5,IF(AND($D161='Auto Responses'!$J$27,$H161=""),'Auto Responses'!$J$5,IF(AND($D161='Auto Responses'!$J$27,$H161='Auto Responses'!$J$7),1,IF(AND($D161='Auto Responses'!$J$27,$H161='Auto Responses'!$J$8),0,IF(OR(AND($F161=$G161,$H161=""),$H161='Auto Responses'!$J$7),1,0)))))</f>
        <v>0</v>
      </c>
      <c r="M161" s="4" t="str">
        <f>VLOOKUP($A161,'Institution Evaluation'!$A$56:$K$345,11,0)&amp;""</f>
        <v>FALSE</v>
      </c>
      <c r="N161" s="4">
        <f>IF($J161='Auto Responses'!$J$11,1,IF(AND($J161="",$I161='Auto Responses'!$J$11),1,0))</f>
        <v>0</v>
      </c>
      <c r="O161" s="107">
        <f>IF(OR($F$17='Auto Responses'!$J$4,$E161='Auto Responses'!$L$13,$F161='Auto Responses'!$J$5),'Auto Responses'!$J$5,IF($J161="",$K161,IF($J161='Auto Responses'!$J$13,5,IF($J161='Auto Responses'!$J$12,10,IF($J161='Auto Responses'!$J$11,20,0)))))</f>
        <v>5</v>
      </c>
      <c r="P161" s="107">
        <f>IF(OR($O161='Auto Responses'!$J$5,$L161='Auto Responses'!$J$5),'Auto Responses'!$J$5,$O161*$L161)</f>
        <v>0</v>
      </c>
      <c r="Q161" s="107">
        <f t="shared" si="14"/>
        <v>0</v>
      </c>
      <c r="R161" s="107">
        <f t="shared" si="19"/>
        <v>0</v>
      </c>
      <c r="S161" s="107">
        <f t="shared" si="15"/>
        <v>0</v>
      </c>
      <c r="T161" s="107">
        <f t="shared" si="16"/>
        <v>0</v>
      </c>
      <c r="U161" s="107">
        <f t="shared" si="20"/>
        <v>49</v>
      </c>
      <c r="V161" s="107">
        <f t="shared" si="17"/>
        <v>0</v>
      </c>
    </row>
    <row r="162" spans="1:22" ht="55.2" x14ac:dyDescent="0.3">
      <c r="A162" s="4" t="str">
        <f>Questions!$A162</f>
        <v>PPPR-01</v>
      </c>
      <c r="B162" s="4" t="str">
        <f t="shared" si="18"/>
        <v>PPPR</v>
      </c>
      <c r="C162" s="4" t="str">
        <f>VLOOKUP($A162,Questions!$A$3:$L$333,2,0)&amp;""</f>
        <v>Do you have a documented patch management process?*</v>
      </c>
      <c r="D162" s="4" t="str">
        <f>VLOOKUP($A162,Questions!$A$3:$L$333,11,0)&amp;""</f>
        <v/>
      </c>
      <c r="E162" s="4" t="str">
        <f>VLOOKUP($A162,Questions!$A$3:$L$333,12,0)&amp;""</f>
        <v>Organization</v>
      </c>
      <c r="F162" s="4" t="str">
        <f>VLOOKUP($A162,'Institution Evaluation'!$A$56:$K$345,3,0)&amp;""</f>
        <v>Yes</v>
      </c>
      <c r="G162" s="4" t="str">
        <f>VLOOKUP($A162,'Institution Evaluation'!$A$56:$K$345,7,0)&amp;""</f>
        <v>Yes</v>
      </c>
      <c r="H162" s="4" t="str">
        <f>VLOOKUP($A162,'Institution Evaluation'!$A$56:$K$345,8,0)&amp;""</f>
        <v/>
      </c>
      <c r="I162" s="4" t="str">
        <f>VLOOKUP($A162,'Institution Evaluation'!$A$56:$K$345,9,0)&amp;""</f>
        <v>Critical Importance</v>
      </c>
      <c r="J162" s="4" t="str">
        <f>VLOOKUP($A162,'Institution Evaluation'!$A$56:$K$345,10,0)&amp;""</f>
        <v/>
      </c>
      <c r="K162" s="4">
        <f>IF($I162='Auto Responses'!$J$11,20,IF($I162='Auto Responses'!$J$13,5,10))</f>
        <v>20</v>
      </c>
      <c r="L162" s="107">
        <f>IF($E162='Auto Responses'!$L$13, 'Auto Responses'!$J$5,IF(AND($D162='Auto Responses'!$J$27,$H162=""),'Auto Responses'!$J$5,IF(AND($D162='Auto Responses'!$J$27,$H162='Auto Responses'!$J$7),1,IF(AND($D162='Auto Responses'!$J$27,$H162='Auto Responses'!$J$8),0,IF(OR(AND($F162=$G162,$H162=""),$H162='Auto Responses'!$J$7),1,0)))))</f>
        <v>1</v>
      </c>
      <c r="M162" s="4" t="str">
        <f>VLOOKUP($A162,'Institution Evaluation'!$A$56:$K$345,11,0)&amp;""</f>
        <v>FALSE</v>
      </c>
      <c r="N162" s="4">
        <f>IF($J162='Auto Responses'!$J$11,1,IF(AND($J162="",$I162='Auto Responses'!$J$11),1,0))</f>
        <v>1</v>
      </c>
      <c r="O162" s="107">
        <f>IF(OR($E162='Auto Responses'!$L$13,$F162='Auto Responses'!$J$5),'Auto Responses'!$J$5,IF($J162="",$K162,IF($J162='Auto Responses'!$J$13,5,IF($J162='Auto Responses'!$J$12,10,IF($J162='Auto Responses'!$J$11,20,0)))))</f>
        <v>20</v>
      </c>
      <c r="P162" s="107">
        <f>IF(OR($O162='Auto Responses'!$J$5,$L162='Auto Responses'!$J$5),'Auto Responses'!$J$5,$O162*$L162)</f>
        <v>20</v>
      </c>
      <c r="Q162" s="107">
        <f t="shared" si="14"/>
        <v>0</v>
      </c>
      <c r="R162" s="107">
        <f t="shared" si="19"/>
        <v>0</v>
      </c>
      <c r="S162" s="107">
        <f t="shared" si="15"/>
        <v>0</v>
      </c>
      <c r="T162" s="107">
        <f t="shared" si="16"/>
        <v>1</v>
      </c>
      <c r="U162" s="107">
        <f t="shared" si="20"/>
        <v>50</v>
      </c>
      <c r="V162" s="107">
        <f t="shared" si="17"/>
        <v>50</v>
      </c>
    </row>
    <row r="163" spans="1:22" ht="55.2" x14ac:dyDescent="0.3">
      <c r="A163" s="4" t="str">
        <f>Questions!$A163</f>
        <v>PPPR-02</v>
      </c>
      <c r="B163" s="4" t="str">
        <f t="shared" si="18"/>
        <v>PPPR</v>
      </c>
      <c r="C163" s="4" t="str">
        <f>VLOOKUP($A163,Questions!$A$3:$L$333,2,0)&amp;""</f>
        <v>Can your organization comply with institutional policies on privacy and data protection with regard to users of institutional systems, if required?*</v>
      </c>
      <c r="D163" s="4" t="str">
        <f>VLOOKUP($A163,Questions!$A$3:$L$333,11,0)&amp;""</f>
        <v/>
      </c>
      <c r="E163" s="4" t="str">
        <f>VLOOKUP($A163,Questions!$A$3:$L$333,12,0)&amp;""</f>
        <v>Organization</v>
      </c>
      <c r="F163" s="4" t="str">
        <f>VLOOKUP($A163,'Institution Evaluation'!$A$56:$K$345,3,0)&amp;""</f>
        <v>Yes</v>
      </c>
      <c r="G163" s="4" t="str">
        <f>VLOOKUP($A163,'Institution Evaluation'!$A$56:$K$345,7,0)&amp;""</f>
        <v>Yes</v>
      </c>
      <c r="H163" s="4" t="str">
        <f>VLOOKUP($A163,'Institution Evaluation'!$A$56:$K$345,8,0)&amp;""</f>
        <v/>
      </c>
      <c r="I163" s="4" t="str">
        <f>VLOOKUP($A163,'Institution Evaluation'!$A$56:$K$345,9,0)&amp;""</f>
        <v>Critical Importance</v>
      </c>
      <c r="J163" s="4" t="str">
        <f>VLOOKUP($A163,'Institution Evaluation'!$A$56:$K$345,10,0)&amp;""</f>
        <v/>
      </c>
      <c r="K163" s="4">
        <f>IF($I163='Auto Responses'!$J$11,20,IF($I163='Auto Responses'!$J$13,5,10))</f>
        <v>20</v>
      </c>
      <c r="L163" s="107">
        <f>IF($E163='Auto Responses'!$L$13, 'Auto Responses'!$J$5,IF(AND($D163='Auto Responses'!$J$27,$H163=""),'Auto Responses'!$J$5,IF(AND($D163='Auto Responses'!$J$27,$H163='Auto Responses'!$J$7),1,IF(AND($D163='Auto Responses'!$J$27,$H163='Auto Responses'!$J$8),0,IF(OR(AND($F163=$G163,$H163=""),$H163='Auto Responses'!$J$7),1,0)))))</f>
        <v>1</v>
      </c>
      <c r="M163" s="4" t="str">
        <f>VLOOKUP($A163,'Institution Evaluation'!$A$56:$K$345,11,0)&amp;""</f>
        <v>FALSE</v>
      </c>
      <c r="N163" s="4">
        <f>IF($J163='Auto Responses'!$J$11,1,IF(AND($J163="",$I163='Auto Responses'!$J$11),1,0))</f>
        <v>1</v>
      </c>
      <c r="O163" s="107">
        <f>IF(OR($E163='Auto Responses'!$L$13,$F163='Auto Responses'!$J$5),'Auto Responses'!$J$5,IF($J163="",$K163,IF($J163='Auto Responses'!$J$13,5,IF($J163='Auto Responses'!$J$12,10,IF($J163='Auto Responses'!$J$11,20,0)))))</f>
        <v>20</v>
      </c>
      <c r="P163" s="107">
        <f>IF(OR($O163='Auto Responses'!$J$5,$L163='Auto Responses'!$J$5),'Auto Responses'!$J$5,$O163*$L163)</f>
        <v>20</v>
      </c>
      <c r="Q163" s="107">
        <f t="shared" si="14"/>
        <v>0</v>
      </c>
      <c r="R163" s="107">
        <f t="shared" si="19"/>
        <v>0</v>
      </c>
      <c r="S163" s="107">
        <f t="shared" si="15"/>
        <v>0</v>
      </c>
      <c r="T163" s="107">
        <f t="shared" si="16"/>
        <v>1</v>
      </c>
      <c r="U163" s="107">
        <f t="shared" si="20"/>
        <v>51</v>
      </c>
      <c r="V163" s="107">
        <f t="shared" si="17"/>
        <v>51</v>
      </c>
    </row>
    <row r="164" spans="1:22" ht="55.2" x14ac:dyDescent="0.3">
      <c r="A164" s="4" t="str">
        <f>Questions!$A164</f>
        <v>PPPR-03</v>
      </c>
      <c r="B164" s="4" t="str">
        <f t="shared" si="18"/>
        <v>PPPR</v>
      </c>
      <c r="C164" s="4" t="str">
        <f>VLOOKUP($A164,Questions!$A$3:$L$333,2,0)&amp;""</f>
        <v>Is your company subject to the institution's geographic region's laws and regulations?*</v>
      </c>
      <c r="D164" s="4" t="str">
        <f>VLOOKUP($A164,Questions!$A$3:$L$333,11,0)&amp;""</f>
        <v/>
      </c>
      <c r="E164" s="4" t="str">
        <f>VLOOKUP($A164,Questions!$A$3:$L$333,12,0)&amp;""</f>
        <v>Organization</v>
      </c>
      <c r="F164" s="4" t="str">
        <f>VLOOKUP($A164,'Institution Evaluation'!$A$56:$K$345,3,0)&amp;""</f>
        <v>Yes</v>
      </c>
      <c r="G164" s="4" t="str">
        <f>VLOOKUP($A164,'Institution Evaluation'!$A$56:$K$345,7,0)&amp;""</f>
        <v>Yes</v>
      </c>
      <c r="H164" s="4" t="str">
        <f>VLOOKUP($A164,'Institution Evaluation'!$A$56:$K$345,8,0)&amp;""</f>
        <v/>
      </c>
      <c r="I164" s="4" t="str">
        <f>VLOOKUP($A164,'Institution Evaluation'!$A$56:$K$345,9,0)&amp;""</f>
        <v>Critical Importance</v>
      </c>
      <c r="J164" s="4" t="str">
        <f>VLOOKUP($A164,'Institution Evaluation'!$A$56:$K$345,10,0)&amp;""</f>
        <v/>
      </c>
      <c r="K164" s="4">
        <f>IF($I164='Auto Responses'!$J$11,20,IF($I164='Auto Responses'!$J$13,5,10))</f>
        <v>20</v>
      </c>
      <c r="L164" s="107">
        <f>IF($E164='Auto Responses'!$L$13, 'Auto Responses'!$J$5,IF(AND($D164='Auto Responses'!$J$27,$H164=""),'Auto Responses'!$J$5,IF(AND($D164='Auto Responses'!$J$27,$H164='Auto Responses'!$J$7),1,IF(AND($D164='Auto Responses'!$J$27,$H164='Auto Responses'!$J$8),0,IF(OR(AND($F164=$G164,$H164=""),$H164='Auto Responses'!$J$7),1,0)))))</f>
        <v>1</v>
      </c>
      <c r="M164" s="4" t="str">
        <f>VLOOKUP($A164,'Institution Evaluation'!$A$56:$K$345,11,0)&amp;""</f>
        <v>FALSE</v>
      </c>
      <c r="N164" s="4">
        <f>IF($J164='Auto Responses'!$J$11,1,IF(AND($J164="",$I164='Auto Responses'!$J$11),1,0))</f>
        <v>1</v>
      </c>
      <c r="O164" s="107">
        <f>IF(OR($E164='Auto Responses'!$L$13,$F164='Auto Responses'!$J$5),'Auto Responses'!$J$5,IF($J164="",$K164,IF($J164='Auto Responses'!$J$13,5,IF($J164='Auto Responses'!$J$12,10,IF($J164='Auto Responses'!$J$11,20,0)))))</f>
        <v>20</v>
      </c>
      <c r="P164" s="107">
        <f>IF(OR($O164='Auto Responses'!$J$5,$L164='Auto Responses'!$J$5),'Auto Responses'!$J$5,$O164*$L164)</f>
        <v>20</v>
      </c>
      <c r="Q164" s="107">
        <f t="shared" si="14"/>
        <v>0</v>
      </c>
      <c r="R164" s="107">
        <f t="shared" si="19"/>
        <v>0</v>
      </c>
      <c r="S164" s="107">
        <f t="shared" si="15"/>
        <v>0</v>
      </c>
      <c r="T164" s="107">
        <f t="shared" si="16"/>
        <v>1</v>
      </c>
      <c r="U164" s="107">
        <f t="shared" si="20"/>
        <v>52</v>
      </c>
      <c r="V164" s="107">
        <f t="shared" si="17"/>
        <v>52</v>
      </c>
    </row>
    <row r="165" spans="1:22" ht="55.2" x14ac:dyDescent="0.3">
      <c r="A165" s="4" t="str">
        <f>Questions!$A165</f>
        <v>PPPR-04</v>
      </c>
      <c r="B165" s="4" t="str">
        <f t="shared" si="18"/>
        <v>PPPR</v>
      </c>
      <c r="C165" s="4" t="str">
        <f>VLOOKUP($A165,Questions!$A$3:$L$333,2,0)&amp;""</f>
        <v>Can you accommodate encryption requirements using open standards?</v>
      </c>
      <c r="D165" s="4" t="str">
        <f>VLOOKUP($A165,Questions!$A$3:$L$333,11,0)&amp;""</f>
        <v/>
      </c>
      <c r="E165" s="4" t="str">
        <f>VLOOKUP($A165,Questions!$A$3:$L$333,12,0)&amp;""</f>
        <v>Organization</v>
      </c>
      <c r="F165" s="4" t="str">
        <f>VLOOKUP($A165,'Institution Evaluation'!$A$56:$K$345,3,0)&amp;""</f>
        <v>Yes</v>
      </c>
      <c r="G165" s="4" t="str">
        <f>VLOOKUP($A165,'Institution Evaluation'!$A$56:$K$345,7,0)&amp;""</f>
        <v>Yes</v>
      </c>
      <c r="H165" s="4" t="str">
        <f>VLOOKUP($A165,'Institution Evaluation'!$A$56:$K$345,8,0)&amp;""</f>
        <v/>
      </c>
      <c r="I165" s="4" t="str">
        <f>VLOOKUP($A165,'Institution Evaluation'!$A$56:$K$345,9,0)&amp;""</f>
        <v>Standard Importance</v>
      </c>
      <c r="J165" s="4" t="str">
        <f>VLOOKUP($A165,'Institution Evaluation'!$A$56:$K$345,10,0)&amp;""</f>
        <v/>
      </c>
      <c r="K165" s="4">
        <f>IF($I165='Auto Responses'!$J$11,20,IF($I165='Auto Responses'!$J$13,5,10))</f>
        <v>10</v>
      </c>
      <c r="L165" s="107">
        <f>IF($E165='Auto Responses'!$L$13, 'Auto Responses'!$J$5,IF(AND($D165='Auto Responses'!$J$27,$H165=""),'Auto Responses'!$J$5,IF(AND($D165='Auto Responses'!$J$27,$H165='Auto Responses'!$J$7),1,IF(AND($D165='Auto Responses'!$J$27,$H165='Auto Responses'!$J$8),0,IF(OR(AND($F165=$G165,$H165=""),$H165='Auto Responses'!$J$7),1,0)))))</f>
        <v>1</v>
      </c>
      <c r="M165" s="4" t="str">
        <f>VLOOKUP($A165,'Institution Evaluation'!$A$56:$K$345,11,0)&amp;""</f>
        <v>FALSE</v>
      </c>
      <c r="N165" s="4">
        <f>IF($J165='Auto Responses'!$J$11,1,IF(AND($J165="",$I165='Auto Responses'!$J$11),1,0))</f>
        <v>0</v>
      </c>
      <c r="O165" s="107">
        <f>IF(OR($E165='Auto Responses'!$L$13,$F165='Auto Responses'!$J$5),'Auto Responses'!$J$5,IF($J165="",$K165,IF($J165='Auto Responses'!$J$13,5,IF($J165='Auto Responses'!$J$12,10,IF($J165='Auto Responses'!$J$11,20,0)))))</f>
        <v>10</v>
      </c>
      <c r="P165" s="107">
        <f>IF(OR($O165='Auto Responses'!$J$5,$L165='Auto Responses'!$J$5),'Auto Responses'!$J$5,$O165*$L165)</f>
        <v>10</v>
      </c>
      <c r="Q165" s="107">
        <f t="shared" si="14"/>
        <v>0</v>
      </c>
      <c r="R165" s="107">
        <f t="shared" si="19"/>
        <v>0</v>
      </c>
      <c r="S165" s="107">
        <f t="shared" si="15"/>
        <v>0</v>
      </c>
      <c r="T165" s="107">
        <f t="shared" si="16"/>
        <v>0</v>
      </c>
      <c r="U165" s="107">
        <f t="shared" si="20"/>
        <v>52</v>
      </c>
      <c r="V165" s="107">
        <f t="shared" si="17"/>
        <v>0</v>
      </c>
    </row>
    <row r="166" spans="1:22" ht="55.2" x14ac:dyDescent="0.3">
      <c r="A166" s="4" t="str">
        <f>Questions!$A166</f>
        <v>PPPR-05</v>
      </c>
      <c r="B166" s="4" t="str">
        <f t="shared" si="18"/>
        <v>PPPR</v>
      </c>
      <c r="C166" s="4" t="str">
        <f>VLOOKUP($A166,Questions!$A$3:$L$333,2,0)&amp;""</f>
        <v>Do you have a documented systems development life cycle (SDLC)?</v>
      </c>
      <c r="D166" s="4" t="str">
        <f>VLOOKUP($A166,Questions!$A$3:$L$333,11,0)&amp;""</f>
        <v/>
      </c>
      <c r="E166" s="4" t="str">
        <f>VLOOKUP($A166,Questions!$A$3:$L$333,12,0)&amp;""</f>
        <v>Organization</v>
      </c>
      <c r="F166" s="4" t="str">
        <f>VLOOKUP($A166,'Institution Evaluation'!$A$56:$K$345,3,0)&amp;""</f>
        <v>Yes</v>
      </c>
      <c r="G166" s="4" t="str">
        <f>VLOOKUP($A166,'Institution Evaluation'!$A$56:$K$345,7,0)&amp;""</f>
        <v>Yes</v>
      </c>
      <c r="H166" s="4" t="str">
        <f>VLOOKUP($A166,'Institution Evaluation'!$A$56:$K$345,8,0)&amp;""</f>
        <v/>
      </c>
      <c r="I166" s="4" t="str">
        <f>VLOOKUP($A166,'Institution Evaluation'!$A$56:$K$345,9,0)&amp;""</f>
        <v>Standard Importance</v>
      </c>
      <c r="J166" s="4" t="str">
        <f>VLOOKUP($A166,'Institution Evaluation'!$A$56:$K$345,10,0)&amp;""</f>
        <v/>
      </c>
      <c r="K166" s="4">
        <f>IF($I166='Auto Responses'!$J$11,20,IF($I166='Auto Responses'!$J$13,5,10))</f>
        <v>10</v>
      </c>
      <c r="L166" s="107">
        <f>IF($E166='Auto Responses'!$L$13, 'Auto Responses'!$J$5,IF(AND($D166='Auto Responses'!$J$27,$H166=""),'Auto Responses'!$J$5,IF(AND($D166='Auto Responses'!$J$27,$H166='Auto Responses'!$J$7),1,IF(AND($D166='Auto Responses'!$J$27,$H166='Auto Responses'!$J$8),0,IF(OR(AND($F166=$G166,$H166=""),$H166='Auto Responses'!$J$7),1,0)))))</f>
        <v>1</v>
      </c>
      <c r="M166" s="4" t="str">
        <f>VLOOKUP($A166,'Institution Evaluation'!$A$56:$K$345,11,0)&amp;""</f>
        <v>FALSE</v>
      </c>
      <c r="N166" s="4">
        <f>IF($J166='Auto Responses'!$J$11,1,IF(AND($J166="",$I166='Auto Responses'!$J$11),1,0))</f>
        <v>0</v>
      </c>
      <c r="O166" s="107">
        <f>IF(OR($E166='Auto Responses'!$L$13,$F166='Auto Responses'!$J$5),'Auto Responses'!$J$5,IF($J166="",$K166,IF($J166='Auto Responses'!$J$13,5,IF($J166='Auto Responses'!$J$12,10,IF($J166='Auto Responses'!$J$11,20,0)))))</f>
        <v>10</v>
      </c>
      <c r="P166" s="107">
        <f>IF(OR($O166='Auto Responses'!$J$5,$L166='Auto Responses'!$J$5),'Auto Responses'!$J$5,$O166*$L166)</f>
        <v>10</v>
      </c>
      <c r="Q166" s="107">
        <f t="shared" si="14"/>
        <v>0</v>
      </c>
      <c r="R166" s="107">
        <f t="shared" si="19"/>
        <v>0</v>
      </c>
      <c r="S166" s="107">
        <f t="shared" si="15"/>
        <v>0</v>
      </c>
      <c r="T166" s="107">
        <f t="shared" si="16"/>
        <v>0</v>
      </c>
      <c r="U166" s="107">
        <f t="shared" si="20"/>
        <v>52</v>
      </c>
      <c r="V166" s="107">
        <f t="shared" si="17"/>
        <v>0</v>
      </c>
    </row>
    <row r="167" spans="1:22" ht="55.2" x14ac:dyDescent="0.3">
      <c r="A167" s="4" t="str">
        <f>Questions!$A167</f>
        <v>PPPR-06</v>
      </c>
      <c r="B167" s="4" t="str">
        <f t="shared" si="18"/>
        <v>PPPR</v>
      </c>
      <c r="C167" s="4" t="str">
        <f>VLOOKUP($A167,Questions!$A$3:$L$333,2,0)&amp;""</f>
        <v>Do you perform background screenings or multi-state background checks on all employees prior to their first day of work?</v>
      </c>
      <c r="D167" s="4" t="str">
        <f>VLOOKUP($A167,Questions!$A$3:$L$333,11,0)&amp;""</f>
        <v/>
      </c>
      <c r="E167" s="4" t="str">
        <f>VLOOKUP($A167,Questions!$A$3:$L$333,12,0)&amp;""</f>
        <v>Organization</v>
      </c>
      <c r="F167" s="4" t="str">
        <f>VLOOKUP($A167,'Institution Evaluation'!$A$56:$K$345,3,0)&amp;""</f>
        <v>Yes</v>
      </c>
      <c r="G167" s="4" t="str">
        <f>VLOOKUP($A167,'Institution Evaluation'!$A$56:$K$345,7,0)&amp;""</f>
        <v>Yes</v>
      </c>
      <c r="H167" s="4" t="str">
        <f>VLOOKUP($A167,'Institution Evaluation'!$A$56:$K$345,8,0)&amp;""</f>
        <v/>
      </c>
      <c r="I167" s="4" t="str">
        <f>VLOOKUP($A167,'Institution Evaluation'!$A$56:$K$345,9,0)&amp;""</f>
        <v>Standard Importance</v>
      </c>
      <c r="J167" s="4" t="str">
        <f>VLOOKUP($A167,'Institution Evaluation'!$A$56:$K$345,10,0)&amp;""</f>
        <v/>
      </c>
      <c r="K167" s="4">
        <f>IF($I167='Auto Responses'!$J$11,20,IF($I167='Auto Responses'!$J$13,5,10))</f>
        <v>10</v>
      </c>
      <c r="L167" s="107">
        <f>IF($E167='Auto Responses'!$L$13, 'Auto Responses'!$J$5,IF(AND($D167='Auto Responses'!$J$27,$H167=""),'Auto Responses'!$J$5,IF(AND($D167='Auto Responses'!$J$27,$H167='Auto Responses'!$J$7),1,IF(AND($D167='Auto Responses'!$J$27,$H167='Auto Responses'!$J$8),0,IF(OR(AND($F167=$G167,$H167=""),$H167='Auto Responses'!$J$7),1,0)))))</f>
        <v>1</v>
      </c>
      <c r="M167" s="4" t="str">
        <f>VLOOKUP($A167,'Institution Evaluation'!$A$56:$K$345,11,0)&amp;""</f>
        <v>FALSE</v>
      </c>
      <c r="N167" s="4">
        <f>IF($J167='Auto Responses'!$J$11,1,IF(AND($J167="",$I167='Auto Responses'!$J$11),1,0))</f>
        <v>0</v>
      </c>
      <c r="O167" s="107">
        <f>IF(OR($E167='Auto Responses'!$L$13,$F167='Auto Responses'!$J$5),'Auto Responses'!$J$5,IF($J167="",$K167,IF($J167='Auto Responses'!$J$13,5,IF($J167='Auto Responses'!$J$12,10,IF($J167='Auto Responses'!$J$11,20,0)))))</f>
        <v>10</v>
      </c>
      <c r="P167" s="107">
        <f>IF(OR($O167='Auto Responses'!$J$5,$L167='Auto Responses'!$J$5),'Auto Responses'!$J$5,$O167*$L167)</f>
        <v>10</v>
      </c>
      <c r="Q167" s="107">
        <f t="shared" si="14"/>
        <v>0</v>
      </c>
      <c r="R167" s="107">
        <f t="shared" si="19"/>
        <v>0</v>
      </c>
      <c r="S167" s="107">
        <f t="shared" si="15"/>
        <v>0</v>
      </c>
      <c r="T167" s="107">
        <f t="shared" si="16"/>
        <v>0</v>
      </c>
      <c r="U167" s="107">
        <f t="shared" si="20"/>
        <v>52</v>
      </c>
      <c r="V167" s="107">
        <f t="shared" si="17"/>
        <v>0</v>
      </c>
    </row>
    <row r="168" spans="1:22" ht="55.2" x14ac:dyDescent="0.3">
      <c r="A168" s="4" t="str">
        <f>Questions!$A168</f>
        <v>PPPR-07</v>
      </c>
      <c r="B168" s="4" t="str">
        <f t="shared" si="18"/>
        <v>PPPR</v>
      </c>
      <c r="C168" s="4" t="str">
        <f>VLOOKUP($A168,Questions!$A$3:$L$333,2,0)&amp;""</f>
        <v>Do you require new employees to fill out agreements and review policies?</v>
      </c>
      <c r="D168" s="4" t="str">
        <f>VLOOKUP($A168,Questions!$A$3:$L$333,11,0)&amp;""</f>
        <v/>
      </c>
      <c r="E168" s="4" t="str">
        <f>VLOOKUP($A168,Questions!$A$3:$L$333,12,0)&amp;""</f>
        <v>Organization</v>
      </c>
      <c r="F168" s="4" t="str">
        <f>VLOOKUP($A168,'Institution Evaluation'!$A$56:$K$345,3,0)&amp;""</f>
        <v>Yes</v>
      </c>
      <c r="G168" s="4" t="str">
        <f>VLOOKUP($A168,'Institution Evaluation'!$A$56:$K$345,7,0)&amp;""</f>
        <v>Yes</v>
      </c>
      <c r="H168" s="4" t="str">
        <f>VLOOKUP($A168,'Institution Evaluation'!$A$56:$K$345,8,0)&amp;""</f>
        <v/>
      </c>
      <c r="I168" s="4" t="str">
        <f>VLOOKUP($A168,'Institution Evaluation'!$A$56:$K$345,9,0)&amp;""</f>
        <v>Standard Importance</v>
      </c>
      <c r="J168" s="4" t="str">
        <f>VLOOKUP($A168,'Institution Evaluation'!$A$56:$K$345,10,0)&amp;""</f>
        <v/>
      </c>
      <c r="K168" s="4">
        <f>IF($I168='Auto Responses'!$J$11,20,IF($I168='Auto Responses'!$J$13,5,10))</f>
        <v>10</v>
      </c>
      <c r="L168" s="107">
        <f>IF($E168='Auto Responses'!$L$13, 'Auto Responses'!$J$5,IF(AND($D168='Auto Responses'!$J$27,$H168=""),'Auto Responses'!$J$5,IF(AND($D168='Auto Responses'!$J$27,$H168='Auto Responses'!$J$7),1,IF(AND($D168='Auto Responses'!$J$27,$H168='Auto Responses'!$J$8),0,IF(OR(AND($F168=$G168,$H168=""),$H168='Auto Responses'!$J$7),1,0)))))</f>
        <v>1</v>
      </c>
      <c r="M168" s="4" t="str">
        <f>VLOOKUP($A168,'Institution Evaluation'!$A$56:$K$345,11,0)&amp;""</f>
        <v>FALSE</v>
      </c>
      <c r="N168" s="4">
        <f>IF($J168='Auto Responses'!$J$11,1,IF(AND($J168="",$I168='Auto Responses'!$J$11),1,0))</f>
        <v>0</v>
      </c>
      <c r="O168" s="107">
        <f>IF(OR($E168='Auto Responses'!$L$13,$F168='Auto Responses'!$J$5),'Auto Responses'!$J$5,IF($J168="",$K168,IF($J168='Auto Responses'!$J$13,5,IF($J168='Auto Responses'!$J$12,10,IF($J168='Auto Responses'!$J$11,20,0)))))</f>
        <v>10</v>
      </c>
      <c r="P168" s="107">
        <f>IF(OR($O168='Auto Responses'!$J$5,$L168='Auto Responses'!$J$5),'Auto Responses'!$J$5,$O168*$L168)</f>
        <v>10</v>
      </c>
      <c r="Q168" s="107">
        <f t="shared" si="14"/>
        <v>0</v>
      </c>
      <c r="R168" s="107">
        <f t="shared" si="19"/>
        <v>0</v>
      </c>
      <c r="S168" s="107">
        <f t="shared" si="15"/>
        <v>0</v>
      </c>
      <c r="T168" s="107">
        <f t="shared" si="16"/>
        <v>0</v>
      </c>
      <c r="U168" s="107">
        <f t="shared" si="20"/>
        <v>52</v>
      </c>
      <c r="V168" s="107">
        <f t="shared" si="17"/>
        <v>0</v>
      </c>
    </row>
    <row r="169" spans="1:22" ht="55.2" x14ac:dyDescent="0.3">
      <c r="A169" s="4" t="str">
        <f>Questions!$A169</f>
        <v>PPPR-08</v>
      </c>
      <c r="B169" s="4" t="str">
        <f t="shared" si="18"/>
        <v>PPPR</v>
      </c>
      <c r="C169" s="4" t="str">
        <f>VLOOKUP($A169,Questions!$A$3:$L$333,2,0)&amp;""</f>
        <v>Do you have a documented information security policy?</v>
      </c>
      <c r="D169" s="4" t="str">
        <f>VLOOKUP($A169,Questions!$A$3:$L$333,11,0)&amp;""</f>
        <v/>
      </c>
      <c r="E169" s="4" t="str">
        <f>VLOOKUP($A169,Questions!$A$3:$L$333,12,0)&amp;""</f>
        <v>Organization</v>
      </c>
      <c r="F169" s="4" t="str">
        <f>VLOOKUP($A169,'Institution Evaluation'!$A$56:$K$345,3,0)&amp;""</f>
        <v>Yes</v>
      </c>
      <c r="G169" s="4" t="str">
        <f>VLOOKUP($A169,'Institution Evaluation'!$A$56:$K$345,7,0)&amp;""</f>
        <v>Yes</v>
      </c>
      <c r="H169" s="4" t="str">
        <f>VLOOKUP($A169,'Institution Evaluation'!$A$56:$K$345,8,0)&amp;""</f>
        <v/>
      </c>
      <c r="I169" s="4" t="str">
        <f>VLOOKUP($A169,'Institution Evaluation'!$A$56:$K$345,9,0)&amp;""</f>
        <v>Standard Importance</v>
      </c>
      <c r="J169" s="4" t="str">
        <f>VLOOKUP($A169,'Institution Evaluation'!$A$56:$K$345,10,0)&amp;""</f>
        <v/>
      </c>
      <c r="K169" s="4">
        <f>IF($I169='Auto Responses'!$J$11,20,IF($I169='Auto Responses'!$J$13,5,10))</f>
        <v>10</v>
      </c>
      <c r="L169" s="107">
        <f>IF($E169='Auto Responses'!$L$13, 'Auto Responses'!$J$5,IF(AND($D169='Auto Responses'!$J$27,$H169=""),'Auto Responses'!$J$5,IF(AND($D169='Auto Responses'!$J$27,$H169='Auto Responses'!$J$7),1,IF(AND($D169='Auto Responses'!$J$27,$H169='Auto Responses'!$J$8),0,IF(OR(AND($F169=$G169,$H169=""),$H169='Auto Responses'!$J$7),1,0)))))</f>
        <v>1</v>
      </c>
      <c r="M169" s="4" t="str">
        <f>VLOOKUP($A169,'Institution Evaluation'!$A$56:$K$345,11,0)&amp;""</f>
        <v>FALSE</v>
      </c>
      <c r="N169" s="4">
        <f>IF($J169='Auto Responses'!$J$11,1,IF(AND($J169="",$I169='Auto Responses'!$J$11),1,0))</f>
        <v>0</v>
      </c>
      <c r="O169" s="107">
        <f>IF(OR($E169='Auto Responses'!$L$13,$F169='Auto Responses'!$J$5),'Auto Responses'!$J$5,IF($J169="",$K169,IF($J169='Auto Responses'!$J$13,5,IF($J169='Auto Responses'!$J$12,10,IF($J169='Auto Responses'!$J$11,20,0)))))</f>
        <v>10</v>
      </c>
      <c r="P169" s="107">
        <f>IF(OR($O169='Auto Responses'!$J$5,$L169='Auto Responses'!$J$5),'Auto Responses'!$J$5,$O169*$L169)</f>
        <v>10</v>
      </c>
      <c r="Q169" s="107">
        <f t="shared" si="14"/>
        <v>0</v>
      </c>
      <c r="R169" s="107">
        <f t="shared" si="19"/>
        <v>0</v>
      </c>
      <c r="S169" s="107">
        <f t="shared" si="15"/>
        <v>0</v>
      </c>
      <c r="T169" s="107">
        <f t="shared" si="16"/>
        <v>0</v>
      </c>
      <c r="U169" s="107">
        <f t="shared" si="20"/>
        <v>52</v>
      </c>
      <c r="V169" s="107">
        <f t="shared" si="17"/>
        <v>0</v>
      </c>
    </row>
    <row r="170" spans="1:22" ht="55.2" x14ac:dyDescent="0.3">
      <c r="A170" s="4" t="str">
        <f>Questions!$A170</f>
        <v>PPPR-09</v>
      </c>
      <c r="B170" s="4" t="str">
        <f t="shared" si="18"/>
        <v>PPPR</v>
      </c>
      <c r="C170" s="4" t="str">
        <f>VLOOKUP($A170,Questions!$A$3:$L$333,2,0)&amp;""</f>
        <v>Are information security principles designed into the product lifecycle?</v>
      </c>
      <c r="D170" s="4" t="str">
        <f>VLOOKUP($A170,Questions!$A$3:$L$333,11,0)&amp;""</f>
        <v/>
      </c>
      <c r="E170" s="4" t="str">
        <f>VLOOKUP($A170,Questions!$A$3:$L$333,12,0)&amp;""</f>
        <v>Organization</v>
      </c>
      <c r="F170" s="4" t="str">
        <f>VLOOKUP($A170,'Institution Evaluation'!$A$56:$K$345,3,0)&amp;""</f>
        <v>Yes</v>
      </c>
      <c r="G170" s="4" t="str">
        <f>VLOOKUP($A170,'Institution Evaluation'!$A$56:$K$345,7,0)&amp;""</f>
        <v>Yes</v>
      </c>
      <c r="H170" s="4" t="str">
        <f>VLOOKUP($A170,'Institution Evaluation'!$A$56:$K$345,8,0)&amp;""</f>
        <v/>
      </c>
      <c r="I170" s="4" t="str">
        <f>VLOOKUP($A170,'Institution Evaluation'!$A$56:$K$345,9,0)&amp;""</f>
        <v>Minor Importance</v>
      </c>
      <c r="J170" s="4" t="str">
        <f>VLOOKUP($A170,'Institution Evaluation'!$A$56:$K$345,10,0)&amp;""</f>
        <v/>
      </c>
      <c r="K170" s="4">
        <f>IF($I170='Auto Responses'!$J$11,20,IF($I170='Auto Responses'!$J$13,5,10))</f>
        <v>5</v>
      </c>
      <c r="L170" s="107">
        <f>IF($E170='Auto Responses'!$L$13, 'Auto Responses'!$J$5,IF(AND($D170='Auto Responses'!$J$27,$H170=""),'Auto Responses'!$J$5,IF(AND($D170='Auto Responses'!$J$27,$H170='Auto Responses'!$J$7),1,IF(AND($D170='Auto Responses'!$J$27,$H170='Auto Responses'!$J$8),0,IF(OR(AND($F170=$G170,$H170=""),$H170='Auto Responses'!$J$7),1,0)))))</f>
        <v>1</v>
      </c>
      <c r="M170" s="4" t="str">
        <f>VLOOKUP($A170,'Institution Evaluation'!$A$56:$K$345,11,0)&amp;""</f>
        <v>FALSE</v>
      </c>
      <c r="N170" s="4">
        <f>IF($J170='Auto Responses'!$J$11,1,IF(AND($J170="",$I170='Auto Responses'!$J$11),1,0))</f>
        <v>0</v>
      </c>
      <c r="O170" s="107">
        <f>IF(OR($E170='Auto Responses'!$L$13,$F170='Auto Responses'!$J$5),'Auto Responses'!$J$5,IF($J170="",$K170,IF($J170='Auto Responses'!$J$13,5,IF($J170='Auto Responses'!$J$12,10,IF($J170='Auto Responses'!$J$11,20,0)))))</f>
        <v>5</v>
      </c>
      <c r="P170" s="107">
        <f>IF(OR($O170='Auto Responses'!$J$5,$L170='Auto Responses'!$J$5),'Auto Responses'!$J$5,$O170*$L170)</f>
        <v>5</v>
      </c>
      <c r="Q170" s="107">
        <f t="shared" si="14"/>
        <v>0</v>
      </c>
      <c r="R170" s="107">
        <f t="shared" si="19"/>
        <v>0</v>
      </c>
      <c r="S170" s="107">
        <f t="shared" si="15"/>
        <v>0</v>
      </c>
      <c r="T170" s="107">
        <f t="shared" si="16"/>
        <v>0</v>
      </c>
      <c r="U170" s="107">
        <f t="shared" si="20"/>
        <v>52</v>
      </c>
      <c r="V170" s="107">
        <f t="shared" si="17"/>
        <v>0</v>
      </c>
    </row>
    <row r="171" spans="1:22" ht="55.2" x14ac:dyDescent="0.3">
      <c r="A171" s="4" t="str">
        <f>Questions!$A171</f>
        <v>PPPR-10</v>
      </c>
      <c r="B171" s="4" t="str">
        <f t="shared" si="18"/>
        <v>PPPR</v>
      </c>
      <c r="C171" s="4" t="str">
        <f>VLOOKUP($A171,Questions!$A$3:$L$333,2,0)&amp;""</f>
        <v>Will you comply with applicable breach notification laws?</v>
      </c>
      <c r="D171" s="4" t="str">
        <f>VLOOKUP($A171,Questions!$A$3:$L$333,11,0)&amp;""</f>
        <v/>
      </c>
      <c r="E171" s="4" t="str">
        <f>VLOOKUP($A171,Questions!$A$3:$L$333,12,0)&amp;""</f>
        <v>Organization</v>
      </c>
      <c r="F171" s="4" t="str">
        <f>VLOOKUP($A171,'Institution Evaluation'!$A$56:$K$345,3,0)&amp;""</f>
        <v>Yes</v>
      </c>
      <c r="G171" s="4" t="str">
        <f>VLOOKUP($A171,'Institution Evaluation'!$A$56:$K$345,7,0)&amp;""</f>
        <v>Yes</v>
      </c>
      <c r="H171" s="4" t="str">
        <f>VLOOKUP($A171,'Institution Evaluation'!$A$56:$K$345,8,0)&amp;""</f>
        <v/>
      </c>
      <c r="I171" s="4" t="str">
        <f>VLOOKUP($A171,'Institution Evaluation'!$A$56:$K$345,9,0)&amp;""</f>
        <v>Minor Importance</v>
      </c>
      <c r="J171" s="4" t="str">
        <f>VLOOKUP($A171,'Institution Evaluation'!$A$56:$K$345,10,0)&amp;""</f>
        <v/>
      </c>
      <c r="K171" s="4">
        <f>IF($I171='Auto Responses'!$J$11,20,IF($I171='Auto Responses'!$J$13,5,10))</f>
        <v>5</v>
      </c>
      <c r="L171" s="107">
        <f>IF($E171='Auto Responses'!$L$13, 'Auto Responses'!$J$5,IF(AND($D171='Auto Responses'!$J$27,$H171=""),'Auto Responses'!$J$5,IF(AND($D171='Auto Responses'!$J$27,$H171='Auto Responses'!$J$7),1,IF(AND($D171='Auto Responses'!$J$27,$H171='Auto Responses'!$J$8),0,IF(OR(AND($F171=$G171,$H171=""),$H171='Auto Responses'!$J$7),1,0)))))</f>
        <v>1</v>
      </c>
      <c r="M171" s="4" t="str">
        <f>VLOOKUP($A171,'Institution Evaluation'!$A$56:$K$345,11,0)&amp;""</f>
        <v>FALSE</v>
      </c>
      <c r="N171" s="4">
        <f>IF($J171='Auto Responses'!$J$11,1,IF(AND($J171="",$I171='Auto Responses'!$J$11),1,0))</f>
        <v>0</v>
      </c>
      <c r="O171" s="107">
        <f>IF(OR($E171='Auto Responses'!$L$13,$F171='Auto Responses'!$J$5),'Auto Responses'!$J$5,IF($J171="",$K171,IF($J171='Auto Responses'!$J$13,5,IF($J171='Auto Responses'!$J$12,10,IF($J171='Auto Responses'!$J$11,20,0)))))</f>
        <v>5</v>
      </c>
      <c r="P171" s="107">
        <f>IF(OR($O171='Auto Responses'!$J$5,$L171='Auto Responses'!$J$5),'Auto Responses'!$J$5,$O171*$L171)</f>
        <v>5</v>
      </c>
      <c r="Q171" s="107">
        <f t="shared" si="14"/>
        <v>0</v>
      </c>
      <c r="R171" s="107">
        <f t="shared" si="19"/>
        <v>0</v>
      </c>
      <c r="S171" s="107">
        <f t="shared" si="15"/>
        <v>0</v>
      </c>
      <c r="T171" s="107">
        <f t="shared" si="16"/>
        <v>0</v>
      </c>
      <c r="U171" s="107">
        <f t="shared" si="20"/>
        <v>52</v>
      </c>
      <c r="V171" s="107">
        <f t="shared" si="17"/>
        <v>0</v>
      </c>
    </row>
    <row r="172" spans="1:22" ht="55.2" x14ac:dyDescent="0.3">
      <c r="A172" s="4" t="str">
        <f>Questions!$A172</f>
        <v>PPPR-11</v>
      </c>
      <c r="B172" s="4" t="str">
        <f t="shared" si="18"/>
        <v>PPPR</v>
      </c>
      <c r="C172" s="4" t="str">
        <f>VLOOKUP($A172,Questions!$A$3:$L$333,2,0)&amp;""</f>
        <v>Do you have an information security awareness program?</v>
      </c>
      <c r="D172" s="4" t="str">
        <f>VLOOKUP($A172,Questions!$A$3:$L$333,11,0)&amp;""</f>
        <v/>
      </c>
      <c r="E172" s="4" t="str">
        <f>VLOOKUP($A172,Questions!$A$3:$L$333,12,0)&amp;""</f>
        <v>Organization</v>
      </c>
      <c r="F172" s="4" t="str">
        <f>VLOOKUP($A172,'Institution Evaluation'!$A$56:$K$345,3,0)&amp;""</f>
        <v>Yes</v>
      </c>
      <c r="G172" s="4" t="str">
        <f>VLOOKUP($A172,'Institution Evaluation'!$A$56:$K$345,7,0)&amp;""</f>
        <v>Yes</v>
      </c>
      <c r="H172" s="4" t="str">
        <f>VLOOKUP($A172,'Institution Evaluation'!$A$56:$K$345,8,0)&amp;""</f>
        <v/>
      </c>
      <c r="I172" s="4" t="str">
        <f>VLOOKUP($A172,'Institution Evaluation'!$A$56:$K$345,9,0)&amp;""</f>
        <v>Minor Importance</v>
      </c>
      <c r="J172" s="4" t="str">
        <f>VLOOKUP($A172,'Institution Evaluation'!$A$56:$K$345,10,0)&amp;""</f>
        <v/>
      </c>
      <c r="K172" s="4">
        <f>IF($I172='Auto Responses'!$J$11,20,IF($I172='Auto Responses'!$J$13,5,10))</f>
        <v>5</v>
      </c>
      <c r="L172" s="107">
        <f>IF($E172='Auto Responses'!$L$13, 'Auto Responses'!$J$5,IF(AND($D172='Auto Responses'!$J$27,$H172=""),'Auto Responses'!$J$5,IF(AND($D172='Auto Responses'!$J$27,$H172='Auto Responses'!$J$7),1,IF(AND($D172='Auto Responses'!$J$27,$H172='Auto Responses'!$J$8),0,IF(OR(AND($F172=$G172,$H172=""),$H172='Auto Responses'!$J$7),1,0)))))</f>
        <v>1</v>
      </c>
      <c r="M172" s="4" t="str">
        <f>VLOOKUP($A172,'Institution Evaluation'!$A$56:$K$345,11,0)&amp;""</f>
        <v>FALSE</v>
      </c>
      <c r="N172" s="4">
        <f>IF($J172='Auto Responses'!$J$11,1,IF(AND($J172="",$I172='Auto Responses'!$J$11),1,0))</f>
        <v>0</v>
      </c>
      <c r="O172" s="107">
        <f>IF(OR($E172='Auto Responses'!$L$13,$F172='Auto Responses'!$J$5),'Auto Responses'!$J$5,IF($J172="",$K172,IF($J172='Auto Responses'!$J$13,5,IF($J172='Auto Responses'!$J$12,10,IF($J172='Auto Responses'!$J$11,20,0)))))</f>
        <v>5</v>
      </c>
      <c r="P172" s="107">
        <f>IF(OR($O172='Auto Responses'!$J$5,$L172='Auto Responses'!$J$5),'Auto Responses'!$J$5,$O172*$L172)</f>
        <v>5</v>
      </c>
      <c r="Q172" s="107">
        <f t="shared" si="14"/>
        <v>0</v>
      </c>
      <c r="R172" s="107">
        <f t="shared" si="19"/>
        <v>0</v>
      </c>
      <c r="S172" s="107">
        <f t="shared" si="15"/>
        <v>0</v>
      </c>
      <c r="T172" s="107">
        <f t="shared" si="16"/>
        <v>0</v>
      </c>
      <c r="U172" s="107">
        <f t="shared" si="20"/>
        <v>52</v>
      </c>
      <c r="V172" s="107">
        <f t="shared" si="17"/>
        <v>0</v>
      </c>
    </row>
    <row r="173" spans="1:22" ht="55.2" x14ac:dyDescent="0.3">
      <c r="A173" s="4" t="str">
        <f>Questions!$A173</f>
        <v>PPPR-12</v>
      </c>
      <c r="B173" s="4" t="str">
        <f t="shared" si="18"/>
        <v>PPPR</v>
      </c>
      <c r="C173" s="4" t="str">
        <f>VLOOKUP($A173,Questions!$A$3:$L$333,2,0)&amp;""</f>
        <v>Is security awareness training mandatory for all employees?</v>
      </c>
      <c r="D173" s="4" t="str">
        <f>VLOOKUP($A173,Questions!$A$3:$L$333,11,0)&amp;""</f>
        <v/>
      </c>
      <c r="E173" s="4" t="str">
        <f>VLOOKUP($A173,Questions!$A$3:$L$333,12,0)&amp;""</f>
        <v>Organization</v>
      </c>
      <c r="F173" s="4" t="str">
        <f>VLOOKUP($A173,'Institution Evaluation'!$A$56:$K$345,3,0)&amp;""</f>
        <v>Yes</v>
      </c>
      <c r="G173" s="4" t="str">
        <f>VLOOKUP($A173,'Institution Evaluation'!$A$56:$K$345,7,0)&amp;""</f>
        <v>Yes</v>
      </c>
      <c r="H173" s="4" t="str">
        <f>VLOOKUP($A173,'Institution Evaluation'!$A$56:$K$345,8,0)&amp;""</f>
        <v/>
      </c>
      <c r="I173" s="4" t="str">
        <f>VLOOKUP($A173,'Institution Evaluation'!$A$56:$K$345,9,0)&amp;""</f>
        <v>Minor Importance</v>
      </c>
      <c r="J173" s="4" t="str">
        <f>VLOOKUP($A173,'Institution Evaluation'!$A$56:$K$345,10,0)&amp;""</f>
        <v/>
      </c>
      <c r="K173" s="4">
        <f>IF($I173='Auto Responses'!$J$11,20,IF($I173='Auto Responses'!$J$13,5,10))</f>
        <v>5</v>
      </c>
      <c r="L173" s="107">
        <f>IF($E173='Auto Responses'!$L$13, 'Auto Responses'!$J$5,IF(AND($D173='Auto Responses'!$J$27,$H173=""),'Auto Responses'!$J$5,IF(AND($D173='Auto Responses'!$J$27,$H173='Auto Responses'!$J$7),1,IF(AND($D173='Auto Responses'!$J$27,$H173='Auto Responses'!$J$8),0,IF(OR(AND($F173=$G173,$H173=""),$H173='Auto Responses'!$J$7),1,0)))))</f>
        <v>1</v>
      </c>
      <c r="M173" s="4" t="str">
        <f>VLOOKUP($A173,'Institution Evaluation'!$A$56:$K$345,11,0)&amp;""</f>
        <v>FALSE</v>
      </c>
      <c r="N173" s="4">
        <f>IF($J173='Auto Responses'!$J$11,1,IF(AND($J173="",$I173='Auto Responses'!$J$11),1,0))</f>
        <v>0</v>
      </c>
      <c r="O173" s="107">
        <f>IF(OR($E173='Auto Responses'!$L$13,$F173='Auto Responses'!$J$5),'Auto Responses'!$J$5,IF($J173="",$K173,IF($J173='Auto Responses'!$J$13,5,IF($J173='Auto Responses'!$J$12,10,IF($J173='Auto Responses'!$J$11,20,0)))))</f>
        <v>5</v>
      </c>
      <c r="P173" s="107">
        <f>IF(OR($O173='Auto Responses'!$J$5,$L173='Auto Responses'!$J$5),'Auto Responses'!$J$5,$O173*$L173)</f>
        <v>5</v>
      </c>
      <c r="Q173" s="107">
        <f t="shared" si="14"/>
        <v>0</v>
      </c>
      <c r="R173" s="107">
        <f t="shared" si="19"/>
        <v>0</v>
      </c>
      <c r="S173" s="107">
        <f t="shared" si="15"/>
        <v>0</v>
      </c>
      <c r="T173" s="107">
        <f t="shared" si="16"/>
        <v>0</v>
      </c>
      <c r="U173" s="107">
        <f t="shared" si="20"/>
        <v>52</v>
      </c>
      <c r="V173" s="107">
        <f t="shared" si="17"/>
        <v>0</v>
      </c>
    </row>
    <row r="174" spans="1:22" ht="55.2" x14ac:dyDescent="0.3">
      <c r="A174" s="4" t="str">
        <f>Questions!$A174</f>
        <v>PPPR-13</v>
      </c>
      <c r="B174" s="4" t="str">
        <f t="shared" si="18"/>
        <v>PPPR</v>
      </c>
      <c r="C174" s="4" t="str">
        <f>VLOOKUP($A174,Questions!$A$3:$L$333,2,0)&amp;""</f>
        <v>Do you have process and procedure(s) documented, and currently followed, that require a review and update of the access list(s) for privileged accounts?</v>
      </c>
      <c r="D174" s="4" t="str">
        <f>VLOOKUP($A174,Questions!$A$3:$L$333,11,0)&amp;""</f>
        <v/>
      </c>
      <c r="E174" s="4" t="str">
        <f>VLOOKUP($A174,Questions!$A$3:$L$333,12,0)&amp;""</f>
        <v>Organization</v>
      </c>
      <c r="F174" s="4" t="str">
        <f>VLOOKUP($A174,'Institution Evaluation'!$A$56:$K$345,3,0)&amp;""</f>
        <v>Yes</v>
      </c>
      <c r="G174" s="4" t="str">
        <f>VLOOKUP($A174,'Institution Evaluation'!$A$56:$K$345,7,0)&amp;""</f>
        <v>Yes</v>
      </c>
      <c r="H174" s="4" t="str">
        <f>VLOOKUP($A174,'Institution Evaluation'!$A$56:$K$345,8,0)&amp;""</f>
        <v/>
      </c>
      <c r="I174" s="4" t="str">
        <f>VLOOKUP($A174,'Institution Evaluation'!$A$56:$K$345,9,0)&amp;""</f>
        <v>Minor Importance</v>
      </c>
      <c r="J174" s="4" t="str">
        <f>VLOOKUP($A174,'Institution Evaluation'!$A$56:$K$345,10,0)&amp;""</f>
        <v/>
      </c>
      <c r="K174" s="4">
        <f>IF($I174='Auto Responses'!$J$11,20,IF($I174='Auto Responses'!$J$13,5,10))</f>
        <v>5</v>
      </c>
      <c r="L174" s="107">
        <f>IF($E174='Auto Responses'!$L$13, 'Auto Responses'!$J$5,IF(AND($D174='Auto Responses'!$J$27,$H174=""),'Auto Responses'!$J$5,IF(AND($D174='Auto Responses'!$J$27,$H174='Auto Responses'!$J$7),1,IF(AND($D174='Auto Responses'!$J$27,$H174='Auto Responses'!$J$8),0,IF(OR(AND($F174=$G174,$H174=""),$H174='Auto Responses'!$J$7),1,0)))))</f>
        <v>1</v>
      </c>
      <c r="M174" s="4" t="str">
        <f>VLOOKUP($A174,'Institution Evaluation'!$A$56:$K$345,11,0)&amp;""</f>
        <v>FALSE</v>
      </c>
      <c r="N174" s="4">
        <f>IF($J174='Auto Responses'!$J$11,1,IF(AND($J174="",$I174='Auto Responses'!$J$11),1,0))</f>
        <v>0</v>
      </c>
      <c r="O174" s="107">
        <f>IF(OR($E174='Auto Responses'!$L$13,$F174='Auto Responses'!$J$5),'Auto Responses'!$J$5,IF($J174="",$K174,IF($J174='Auto Responses'!$J$13,5,IF($J174='Auto Responses'!$J$12,10,IF($J174='Auto Responses'!$J$11,20,0)))))</f>
        <v>5</v>
      </c>
      <c r="P174" s="107">
        <f>IF(OR($O174='Auto Responses'!$J$5,$L174='Auto Responses'!$J$5),'Auto Responses'!$J$5,$O174*$L174)</f>
        <v>5</v>
      </c>
      <c r="Q174" s="107">
        <f t="shared" si="14"/>
        <v>0</v>
      </c>
      <c r="R174" s="107">
        <f t="shared" si="19"/>
        <v>0</v>
      </c>
      <c r="S174" s="107">
        <f t="shared" si="15"/>
        <v>0</v>
      </c>
      <c r="T174" s="107">
        <f t="shared" si="16"/>
        <v>0</v>
      </c>
      <c r="U174" s="107">
        <f t="shared" si="20"/>
        <v>52</v>
      </c>
      <c r="V174" s="107">
        <f t="shared" si="17"/>
        <v>0</v>
      </c>
    </row>
    <row r="175" spans="1:22" ht="55.2" x14ac:dyDescent="0.3">
      <c r="A175" s="4" t="str">
        <f>Questions!$A175</f>
        <v>PPPR-14</v>
      </c>
      <c r="B175" s="4" t="str">
        <f t="shared" si="18"/>
        <v>PPPR</v>
      </c>
      <c r="C175" s="4" t="str">
        <f>VLOOKUP($A175,Questions!$A$3:$L$333,2,0)&amp;""</f>
        <v>Do you have documented, and currently implemented, internal audit processes and procedures?</v>
      </c>
      <c r="D175" s="4" t="str">
        <f>VLOOKUP($A175,Questions!$A$3:$L$333,11,0)&amp;""</f>
        <v/>
      </c>
      <c r="E175" s="4" t="str">
        <f>VLOOKUP($A175,Questions!$A$3:$L$333,12,0)&amp;""</f>
        <v>Organization</v>
      </c>
      <c r="F175" s="4" t="str">
        <f>VLOOKUP($A175,'Institution Evaluation'!$A$56:$K$345,3,0)&amp;""</f>
        <v>Yes</v>
      </c>
      <c r="G175" s="4" t="str">
        <f>VLOOKUP($A175,'Institution Evaluation'!$A$56:$K$345,7,0)&amp;""</f>
        <v>Yes</v>
      </c>
      <c r="H175" s="4" t="str">
        <f>VLOOKUP($A175,'Institution Evaluation'!$A$56:$K$345,8,0)&amp;""</f>
        <v/>
      </c>
      <c r="I175" s="4" t="str">
        <f>VLOOKUP($A175,'Institution Evaluation'!$A$56:$K$345,9,0)&amp;""</f>
        <v>Minor Importance</v>
      </c>
      <c r="J175" s="4" t="str">
        <f>VLOOKUP($A175,'Institution Evaluation'!$A$56:$K$345,10,0)&amp;""</f>
        <v/>
      </c>
      <c r="K175" s="4">
        <f>IF($I175='Auto Responses'!$J$11,20,IF($I175='Auto Responses'!$J$13,5,10))</f>
        <v>5</v>
      </c>
      <c r="L175" s="107">
        <f>IF($E175='Auto Responses'!$L$13, 'Auto Responses'!$J$5,IF(AND($D175='Auto Responses'!$J$27,$H175=""),'Auto Responses'!$J$5,IF(AND($D175='Auto Responses'!$J$27,$H175='Auto Responses'!$J$7),1,IF(AND($D175='Auto Responses'!$J$27,$H175='Auto Responses'!$J$8),0,IF(OR(AND($F175=$G175,$H175=""),$H175='Auto Responses'!$J$7),1,0)))))</f>
        <v>1</v>
      </c>
      <c r="M175" s="4" t="str">
        <f>VLOOKUP($A175,'Institution Evaluation'!$A$56:$K$345,11,0)&amp;""</f>
        <v>FALSE</v>
      </c>
      <c r="N175" s="4">
        <f>IF($J175='Auto Responses'!$J$11,1,IF(AND($J175="",$I175='Auto Responses'!$J$11),1,0))</f>
        <v>0</v>
      </c>
      <c r="O175" s="107">
        <f>IF(OR($E175='Auto Responses'!$L$13,$F175='Auto Responses'!$J$5),'Auto Responses'!$J$5,IF($J175="",$K175,IF($J175='Auto Responses'!$J$13,5,IF($J175='Auto Responses'!$J$12,10,IF($J175='Auto Responses'!$J$11,20,0)))))</f>
        <v>5</v>
      </c>
      <c r="P175" s="107">
        <f>IF(OR($O175='Auto Responses'!$J$5,$L175='Auto Responses'!$J$5),'Auto Responses'!$J$5,$O175*$L175)</f>
        <v>5</v>
      </c>
      <c r="Q175" s="107">
        <f t="shared" si="14"/>
        <v>0</v>
      </c>
      <c r="R175" s="107">
        <f t="shared" si="19"/>
        <v>0</v>
      </c>
      <c r="S175" s="107">
        <f t="shared" si="15"/>
        <v>0</v>
      </c>
      <c r="T175" s="107">
        <f t="shared" si="16"/>
        <v>0</v>
      </c>
      <c r="U175" s="107">
        <f t="shared" si="20"/>
        <v>52</v>
      </c>
      <c r="V175" s="107">
        <f t="shared" si="17"/>
        <v>0</v>
      </c>
    </row>
    <row r="176" spans="1:22" ht="55.2" x14ac:dyDescent="0.3">
      <c r="A176" s="4" t="str">
        <f>Questions!$A176</f>
        <v>PPPR-15</v>
      </c>
      <c r="B176" s="4" t="str">
        <f t="shared" si="18"/>
        <v>PPPR</v>
      </c>
      <c r="C176" s="4" t="str">
        <f>VLOOKUP($A176,Questions!$A$3:$L$333,2,0)&amp;""</f>
        <v>Does your organization have physical security controls and policies in place?</v>
      </c>
      <c r="D176" s="4" t="str">
        <f>VLOOKUP($A176,Questions!$A$3:$L$333,11,0)&amp;""</f>
        <v/>
      </c>
      <c r="E176" s="4" t="str">
        <f>VLOOKUP($A176,Questions!$A$3:$L$333,12,0)&amp;""</f>
        <v>Organization</v>
      </c>
      <c r="F176" s="4" t="str">
        <f>VLOOKUP($A176,'Institution Evaluation'!$A$56:$K$345,3,0)&amp;""</f>
        <v>N/A</v>
      </c>
      <c r="G176" s="4" t="str">
        <f>VLOOKUP($A176,'Institution Evaluation'!$A$56:$K$345,7,0)&amp;""</f>
        <v>Yes</v>
      </c>
      <c r="H176" s="4" t="str">
        <f>VLOOKUP($A176,'Institution Evaluation'!$A$56:$K$345,8,0)&amp;""</f>
        <v/>
      </c>
      <c r="I176" s="4" t="str">
        <f>VLOOKUP($A176,'Institution Evaluation'!$A$56:$K$345,9,0)&amp;""</f>
        <v>Minor Importance</v>
      </c>
      <c r="J176" s="4" t="str">
        <f>VLOOKUP($A176,'Institution Evaluation'!$A$56:$K$345,10,0)&amp;""</f>
        <v/>
      </c>
      <c r="K176" s="4">
        <f>IF($I176='Auto Responses'!$J$11,20,IF($I176='Auto Responses'!$J$13,5,10))</f>
        <v>5</v>
      </c>
      <c r="L176" s="107">
        <f>IF($E176='Auto Responses'!$L$13, 'Auto Responses'!$J$5,IF(AND($D176='Auto Responses'!$J$27,$H176=""),'Auto Responses'!$J$5,IF(AND($D176='Auto Responses'!$J$27,$H176='Auto Responses'!$J$7),1,IF(AND($D176='Auto Responses'!$J$27,$H176='Auto Responses'!$J$8),0,IF(OR(AND($F176=$G176,$H176=""),$H176='Auto Responses'!$J$7),1,0)))))</f>
        <v>0</v>
      </c>
      <c r="M176" s="4" t="str">
        <f>VLOOKUP($A176,'Institution Evaluation'!$A$56:$K$345,11,0)&amp;""</f>
        <v>FALSE</v>
      </c>
      <c r="N176" s="4">
        <f>IF($J176='Auto Responses'!$J$11,1,IF(AND($J176="",$I176='Auto Responses'!$J$11),1,0))</f>
        <v>0</v>
      </c>
      <c r="O176" s="107" t="str">
        <f>IF(OR($E176='Auto Responses'!$L$13,$F176='Auto Responses'!$J$5),'Auto Responses'!$J$5,IF($J176="",$K176,IF($J176='Auto Responses'!$J$13,5,IF($J176='Auto Responses'!$J$12,10,IF($J176='Auto Responses'!$J$11,20,0)))))</f>
        <v>N/A</v>
      </c>
      <c r="P176" s="107" t="str">
        <f>IF(OR($O176='Auto Responses'!$J$5,$L176='Auto Responses'!$J$5),'Auto Responses'!$J$5,$O176*$L176)</f>
        <v>N/A</v>
      </c>
      <c r="Q176" s="107">
        <f t="shared" si="14"/>
        <v>0</v>
      </c>
      <c r="R176" s="107">
        <f t="shared" si="19"/>
        <v>0</v>
      </c>
      <c r="S176" s="107">
        <f t="shared" si="15"/>
        <v>0</v>
      </c>
      <c r="T176" s="107">
        <f t="shared" si="16"/>
        <v>0</v>
      </c>
      <c r="U176" s="107">
        <f t="shared" si="20"/>
        <v>52</v>
      </c>
      <c r="V176" s="107">
        <f t="shared" si="17"/>
        <v>0</v>
      </c>
    </row>
    <row r="177" spans="1:22" ht="55.2" x14ac:dyDescent="0.3">
      <c r="A177" s="4" t="str">
        <f>Questions!$A177</f>
        <v>HFIH-01</v>
      </c>
      <c r="B177" s="4" t="str">
        <f t="shared" si="18"/>
        <v>HFIH</v>
      </c>
      <c r="C177" s="4" t="str">
        <f>VLOOKUP($A177,Questions!$A$3:$L$333,2,0)&amp;""</f>
        <v>Do you have a formal incident response plan?</v>
      </c>
      <c r="D177" s="4" t="str">
        <f>VLOOKUP($A177,Questions!$A$3:$L$333,11,0)&amp;""</f>
        <v/>
      </c>
      <c r="E177" s="4" t="str">
        <f>VLOOKUP($A177,Questions!$A$3:$L$333,12,0)&amp;""</f>
        <v>Infrastructure</v>
      </c>
      <c r="F177" s="4" t="str">
        <f>VLOOKUP($A177,'Institution Evaluation'!$A$56:$K$345,3,0)&amp;""</f>
        <v>Yes</v>
      </c>
      <c r="G177" s="4" t="str">
        <f>VLOOKUP($A177,'Institution Evaluation'!$A$56:$K$345,7,0)&amp;""</f>
        <v>Yes</v>
      </c>
      <c r="H177" s="4" t="str">
        <f>VLOOKUP($A177,'Institution Evaluation'!$A$56:$K$345,8,0)&amp;""</f>
        <v/>
      </c>
      <c r="I177" s="4" t="str">
        <f>VLOOKUP($A177,'Institution Evaluation'!$A$56:$K$345,9,0)&amp;""</f>
        <v>Standard Importance</v>
      </c>
      <c r="J177" s="4" t="str">
        <f>VLOOKUP($A177,'Institution Evaluation'!$A$56:$K$345,10,0)&amp;""</f>
        <v/>
      </c>
      <c r="K177" s="4">
        <f>IF($I177='Auto Responses'!$J$11,20,IF($I177='Auto Responses'!$J$13,5,10))</f>
        <v>10</v>
      </c>
      <c r="L177" s="107">
        <f>IF($E177='Auto Responses'!$L$13, 'Auto Responses'!$J$5,IF(AND($D177='Auto Responses'!$J$27,$H177=""),'Auto Responses'!$J$5,IF(AND($D177='Auto Responses'!$J$27,$H177='Auto Responses'!$J$7),1,IF(AND($D177='Auto Responses'!$J$27,$H177='Auto Responses'!$J$8),0,IF(OR(AND($F177=$G177,$H177=""),$H177='Auto Responses'!$J$7),1,0)))))</f>
        <v>1</v>
      </c>
      <c r="M177" s="4" t="str">
        <f>VLOOKUP($A177,'Institution Evaluation'!$A$56:$K$345,11,0)&amp;""</f>
        <v>FALSE</v>
      </c>
      <c r="N177" s="4">
        <f>IF($J177='Auto Responses'!$J$11,1,IF(AND($J177="",$I177='Auto Responses'!$J$11),1,0))</f>
        <v>0</v>
      </c>
      <c r="O177" s="107">
        <f>IF(OR($F$17='Auto Responses'!$J$4,$E177='Auto Responses'!$L$13,$F177='Auto Responses'!$J$5),'Auto Responses'!$J$5,IF($J177="",$K177,IF($J177='Auto Responses'!$J$13,5,IF($J177='Auto Responses'!$J$12,10,IF($J177='Auto Responses'!$J$11,20,0)))))</f>
        <v>10</v>
      </c>
      <c r="P177" s="107">
        <f>IF(OR($O177='Auto Responses'!$J$5,$L177='Auto Responses'!$J$5),'Auto Responses'!$J$5,$O177*$L177)</f>
        <v>10</v>
      </c>
      <c r="Q177" s="107">
        <f t="shared" si="14"/>
        <v>0</v>
      </c>
      <c r="R177" s="107">
        <f t="shared" si="19"/>
        <v>0</v>
      </c>
      <c r="S177" s="107">
        <f t="shared" si="15"/>
        <v>0</v>
      </c>
      <c r="T177" s="107">
        <f t="shared" si="16"/>
        <v>0</v>
      </c>
      <c r="U177" s="107">
        <f t="shared" si="20"/>
        <v>52</v>
      </c>
      <c r="V177" s="107">
        <f t="shared" si="17"/>
        <v>0</v>
      </c>
    </row>
    <row r="178" spans="1:22" ht="55.2" x14ac:dyDescent="0.3">
      <c r="A178" s="4" t="str">
        <f>Questions!$A178</f>
        <v>HFIH-02</v>
      </c>
      <c r="B178" s="4" t="str">
        <f t="shared" si="18"/>
        <v>HFIH</v>
      </c>
      <c r="C178" s="4" t="str">
        <f>VLOOKUP($A178,Questions!$A$3:$L$333,2,0)&amp;""</f>
        <v>Do you either have an internal incident response team or retain an external team?</v>
      </c>
      <c r="D178" s="4" t="str">
        <f>VLOOKUP($A178,Questions!$A$3:$L$333,11,0)&amp;""</f>
        <v/>
      </c>
      <c r="E178" s="4" t="str">
        <f>VLOOKUP($A178,Questions!$A$3:$L$333,12,0)&amp;""</f>
        <v>Infrastructure</v>
      </c>
      <c r="F178" s="4" t="str">
        <f>VLOOKUP($A178,'Institution Evaluation'!$A$56:$K$345,3,0)&amp;""</f>
        <v>Yes</v>
      </c>
      <c r="G178" s="4" t="str">
        <f>VLOOKUP($A178,'Institution Evaluation'!$A$56:$K$345,7,0)&amp;""</f>
        <v>Yes</v>
      </c>
      <c r="H178" s="4" t="str">
        <f>VLOOKUP($A178,'Institution Evaluation'!$A$56:$K$345,8,0)&amp;""</f>
        <v/>
      </c>
      <c r="I178" s="4" t="str">
        <f>VLOOKUP($A178,'Institution Evaluation'!$A$56:$K$345,9,0)&amp;""</f>
        <v>Minor Importance</v>
      </c>
      <c r="J178" s="4" t="str">
        <f>VLOOKUP($A178,'Institution Evaluation'!$A$56:$K$345,10,0)&amp;""</f>
        <v/>
      </c>
      <c r="K178" s="4">
        <f>IF($I178='Auto Responses'!$J$11,20,IF($I178='Auto Responses'!$J$13,5,10))</f>
        <v>5</v>
      </c>
      <c r="L178" s="107">
        <f>IF($E178='Auto Responses'!$L$13, 'Auto Responses'!$J$5,IF(AND($D178='Auto Responses'!$J$27,$H178=""),'Auto Responses'!$J$5,IF(AND($D178='Auto Responses'!$J$27,$H178='Auto Responses'!$J$7),1,IF(AND($D178='Auto Responses'!$J$27,$H178='Auto Responses'!$J$8),0,IF(OR(AND($F178=$G178,$H178=""),$H178='Auto Responses'!$J$7),1,0)))))</f>
        <v>1</v>
      </c>
      <c r="M178" s="4" t="str">
        <f>VLOOKUP($A178,'Institution Evaluation'!$A$56:$K$345,11,0)&amp;""</f>
        <v>FALSE</v>
      </c>
      <c r="N178" s="4">
        <f>IF($J178='Auto Responses'!$J$11,1,IF(AND($J178="",$I178='Auto Responses'!$J$11),1,0))</f>
        <v>0</v>
      </c>
      <c r="O178" s="107">
        <f>IF(OR($F$17='Auto Responses'!$J$4,$E178='Auto Responses'!$L$13,$F178='Auto Responses'!$J$5),'Auto Responses'!$J$5,IF($J178="",$K178,IF($J178='Auto Responses'!$J$13,5,IF($J178='Auto Responses'!$J$12,10,IF($J178='Auto Responses'!$J$11,20,0)))))</f>
        <v>5</v>
      </c>
      <c r="P178" s="107">
        <f>IF(OR($O178='Auto Responses'!$J$5,$L178='Auto Responses'!$J$5),'Auto Responses'!$J$5,$O178*$L178)</f>
        <v>5</v>
      </c>
      <c r="Q178" s="107">
        <f t="shared" si="14"/>
        <v>0</v>
      </c>
      <c r="R178" s="107">
        <f t="shared" si="19"/>
        <v>0</v>
      </c>
      <c r="S178" s="107">
        <f t="shared" si="15"/>
        <v>0</v>
      </c>
      <c r="T178" s="107">
        <f t="shared" si="16"/>
        <v>0</v>
      </c>
      <c r="U178" s="107">
        <f t="shared" si="20"/>
        <v>52</v>
      </c>
      <c r="V178" s="107">
        <f t="shared" si="17"/>
        <v>0</v>
      </c>
    </row>
    <row r="179" spans="1:22" ht="55.2" x14ac:dyDescent="0.3">
      <c r="A179" s="4" t="str">
        <f>Questions!$A179</f>
        <v>HFIH-03</v>
      </c>
      <c r="B179" s="4" t="str">
        <f t="shared" si="18"/>
        <v>HFIH</v>
      </c>
      <c r="C179" s="4" t="str">
        <f>VLOOKUP($A179,Questions!$A$3:$L$333,2,0)&amp;""</f>
        <v>Do you have the capability to respond to incidents on a 24 x 7 x 365 basis?</v>
      </c>
      <c r="D179" s="4" t="str">
        <f>VLOOKUP($A179,Questions!$A$3:$L$333,11,0)&amp;""</f>
        <v/>
      </c>
      <c r="E179" s="4" t="str">
        <f>VLOOKUP($A179,Questions!$A$3:$L$333,12,0)&amp;""</f>
        <v>Infrastructure</v>
      </c>
      <c r="F179" s="4" t="str">
        <f>VLOOKUP($A179,'Institution Evaluation'!$A$56:$K$345,3,0)&amp;""</f>
        <v>Yes</v>
      </c>
      <c r="G179" s="4" t="str">
        <f>VLOOKUP($A179,'Institution Evaluation'!$A$56:$K$345,7,0)&amp;""</f>
        <v>Yes</v>
      </c>
      <c r="H179" s="4" t="str">
        <f>VLOOKUP($A179,'Institution Evaluation'!$A$56:$K$345,8,0)&amp;""</f>
        <v/>
      </c>
      <c r="I179" s="4" t="str">
        <f>VLOOKUP($A179,'Institution Evaluation'!$A$56:$K$345,9,0)&amp;""</f>
        <v>Minor Importance</v>
      </c>
      <c r="J179" s="4" t="str">
        <f>VLOOKUP($A179,'Institution Evaluation'!$A$56:$K$345,10,0)&amp;""</f>
        <v/>
      </c>
      <c r="K179" s="4">
        <f>IF($I179='Auto Responses'!$J$11,20,IF($I179='Auto Responses'!$J$13,5,10))</f>
        <v>5</v>
      </c>
      <c r="L179" s="107">
        <f>IF($E179='Auto Responses'!$L$13, 'Auto Responses'!$J$5,IF(AND($D179='Auto Responses'!$J$27,$H179=""),'Auto Responses'!$J$5,IF(AND($D179='Auto Responses'!$J$27,$H179='Auto Responses'!$J$7),1,IF(AND($D179='Auto Responses'!$J$27,$H179='Auto Responses'!$J$8),0,IF(OR(AND($F179=$G179,$H179=""),$H179='Auto Responses'!$J$7),1,0)))))</f>
        <v>1</v>
      </c>
      <c r="M179" s="4" t="str">
        <f>VLOOKUP($A179,'Institution Evaluation'!$A$56:$K$345,11,0)&amp;""</f>
        <v>FALSE</v>
      </c>
      <c r="N179" s="4">
        <f>IF($J179='Auto Responses'!$J$11,1,IF(AND($J179="",$I179='Auto Responses'!$J$11),1,0))</f>
        <v>0</v>
      </c>
      <c r="O179" s="107">
        <f>IF(OR($F$17='Auto Responses'!$J$4,$E179='Auto Responses'!$L$13,$F179='Auto Responses'!$J$5),'Auto Responses'!$J$5,IF($J179="",$K179,IF($J179='Auto Responses'!$J$13,5,IF($J179='Auto Responses'!$J$12,10,IF($J179='Auto Responses'!$J$11,20,0)))))</f>
        <v>5</v>
      </c>
      <c r="P179" s="107">
        <f>IF(OR($O179='Auto Responses'!$J$5,$L179='Auto Responses'!$J$5),'Auto Responses'!$J$5,$O179*$L179)</f>
        <v>5</v>
      </c>
      <c r="Q179" s="107">
        <f t="shared" si="14"/>
        <v>0</v>
      </c>
      <c r="R179" s="107">
        <f t="shared" si="19"/>
        <v>0</v>
      </c>
      <c r="S179" s="107">
        <f t="shared" si="15"/>
        <v>0</v>
      </c>
      <c r="T179" s="107">
        <f t="shared" si="16"/>
        <v>0</v>
      </c>
      <c r="U179" s="107">
        <f t="shared" si="20"/>
        <v>52</v>
      </c>
      <c r="V179" s="107">
        <f t="shared" si="17"/>
        <v>0</v>
      </c>
    </row>
    <row r="180" spans="1:22" ht="55.2" x14ac:dyDescent="0.3">
      <c r="A180" s="4" t="str">
        <f>Questions!$A180</f>
        <v>HFIH-04</v>
      </c>
      <c r="B180" s="4" t="str">
        <f t="shared" si="18"/>
        <v>HFIH</v>
      </c>
      <c r="C180" s="4" t="str">
        <f>VLOOKUP($A180,Questions!$A$3:$L$333,2,0)&amp;""</f>
        <v>Do you carry cyber-risk insurance to protect against unforeseen service outages, data that is lost or stolen, and security incidents?</v>
      </c>
      <c r="D180" s="4" t="str">
        <f>VLOOKUP($A180,Questions!$A$3:$L$333,11,0)&amp;""</f>
        <v/>
      </c>
      <c r="E180" s="4" t="str">
        <f>VLOOKUP($A180,Questions!$A$3:$L$333,12,0)&amp;""</f>
        <v>Infrastructure</v>
      </c>
      <c r="F180" s="4" t="str">
        <f>VLOOKUP($A180,'Institution Evaluation'!$A$56:$K$345,3,0)&amp;""</f>
        <v>Yes</v>
      </c>
      <c r="G180" s="4" t="str">
        <f>VLOOKUP($A180,'Institution Evaluation'!$A$56:$K$345,7,0)&amp;""</f>
        <v>Yes</v>
      </c>
      <c r="H180" s="4" t="str">
        <f>VLOOKUP($A180,'Institution Evaluation'!$A$56:$K$345,8,0)&amp;""</f>
        <v/>
      </c>
      <c r="I180" s="4" t="str">
        <f>VLOOKUP($A180,'Institution Evaluation'!$A$56:$K$345,9,0)&amp;""</f>
        <v>Minor Importance</v>
      </c>
      <c r="J180" s="4" t="str">
        <f>VLOOKUP($A180,'Institution Evaluation'!$A$56:$K$345,10,0)&amp;""</f>
        <v/>
      </c>
      <c r="K180" s="4">
        <f>IF($I180='Auto Responses'!$J$11,20,IF($I180='Auto Responses'!$J$13,5,10))</f>
        <v>5</v>
      </c>
      <c r="L180" s="107">
        <f>IF($E180='Auto Responses'!$L$13, 'Auto Responses'!$J$5,IF(AND($D180='Auto Responses'!$J$27,$H180=""),'Auto Responses'!$J$5,IF(AND($D180='Auto Responses'!$J$27,$H180='Auto Responses'!$J$7),1,IF(AND($D180='Auto Responses'!$J$27,$H180='Auto Responses'!$J$8),0,IF(OR(AND($F180=$G180,$H180=""),$H180='Auto Responses'!$J$7),1,0)))))</f>
        <v>1</v>
      </c>
      <c r="M180" s="4" t="str">
        <f>VLOOKUP($A180,'Institution Evaluation'!$A$56:$K$345,11,0)&amp;""</f>
        <v>FALSE</v>
      </c>
      <c r="N180" s="4">
        <f>IF($J180='Auto Responses'!$J$11,1,IF(AND($J180="",$I180='Auto Responses'!$J$11),1,0))</f>
        <v>0</v>
      </c>
      <c r="O180" s="107">
        <f>IF(OR($F$17='Auto Responses'!$J$4,$E180='Auto Responses'!$L$13,$F180='Auto Responses'!$J$5),'Auto Responses'!$J$5,IF($J180="",$K180,IF($J180='Auto Responses'!$J$13,5,IF($J180='Auto Responses'!$J$12,10,IF($J180='Auto Responses'!$J$11,20,0)))))</f>
        <v>5</v>
      </c>
      <c r="P180" s="107">
        <f>IF(OR($O180='Auto Responses'!$J$5,$L180='Auto Responses'!$J$5),'Auto Responses'!$J$5,$O180*$L180)</f>
        <v>5</v>
      </c>
      <c r="Q180" s="107">
        <f t="shared" si="14"/>
        <v>0</v>
      </c>
      <c r="R180" s="107">
        <f t="shared" si="19"/>
        <v>0</v>
      </c>
      <c r="S180" s="107">
        <f t="shared" si="15"/>
        <v>0</v>
      </c>
      <c r="T180" s="107">
        <f t="shared" si="16"/>
        <v>0</v>
      </c>
      <c r="U180" s="107">
        <f t="shared" si="20"/>
        <v>52</v>
      </c>
      <c r="V180" s="107">
        <f t="shared" si="17"/>
        <v>0</v>
      </c>
    </row>
    <row r="181" spans="1:22" ht="55.2" x14ac:dyDescent="0.3">
      <c r="A181" s="4" t="str">
        <f>Questions!$A181</f>
        <v>VULN-01</v>
      </c>
      <c r="B181" s="4" t="str">
        <f t="shared" si="18"/>
        <v>VULN</v>
      </c>
      <c r="C181" s="4" t="str">
        <f>VLOOKUP($A181,Questions!$A$3:$L$333,2,0)&amp;""</f>
        <v>Are your systems and applications scanned with an authenticated user account for vulnerabilities (that are remediated) prior to new releases?*</v>
      </c>
      <c r="D181" s="4" t="str">
        <f>VLOOKUP($A181,Questions!$A$3:$L$333,11,0)&amp;""</f>
        <v/>
      </c>
      <c r="E181" s="4" t="str">
        <f>VLOOKUP($A181,Questions!$A$3:$L$333,12,0)&amp;""</f>
        <v>Infrastructure</v>
      </c>
      <c r="F181" s="4" t="str">
        <f>VLOOKUP($A181,'Institution Evaluation'!$A$56:$K$345,3,0)&amp;""</f>
        <v>No</v>
      </c>
      <c r="G181" s="4" t="str">
        <f>VLOOKUP($A181,'Institution Evaluation'!$A$56:$K$345,7,0)&amp;""</f>
        <v>Yes</v>
      </c>
      <c r="H181" s="4" t="str">
        <f>VLOOKUP($A181,'Institution Evaluation'!$A$56:$K$345,8,0)&amp;""</f>
        <v/>
      </c>
      <c r="I181" s="4" t="str">
        <f>VLOOKUP($A181,'Institution Evaluation'!$A$56:$K$345,9,0)&amp;""</f>
        <v>Critical Importance</v>
      </c>
      <c r="J181" s="4" t="str">
        <f>VLOOKUP($A181,'Institution Evaluation'!$A$56:$K$345,10,0)&amp;""</f>
        <v/>
      </c>
      <c r="K181" s="4">
        <f>IF($I181='Auto Responses'!$J$11,20,IF($I181='Auto Responses'!$J$13,5,10))</f>
        <v>20</v>
      </c>
      <c r="L181" s="107">
        <f>IF($E181='Auto Responses'!$L$13, 'Auto Responses'!$J$5,IF(AND($D181='Auto Responses'!$J$27,$H181=""),'Auto Responses'!$J$5,IF(AND($D181='Auto Responses'!$J$27,$H181='Auto Responses'!$J$7),1,IF(AND($D181='Auto Responses'!$J$27,$H181='Auto Responses'!$J$8),0,IF(OR(AND($F181=$G181,$H181=""),$H181='Auto Responses'!$J$7),1,0)))))</f>
        <v>0</v>
      </c>
      <c r="M181" s="4" t="str">
        <f>VLOOKUP($A181,'Institution Evaluation'!$A$56:$K$345,11,0)&amp;""</f>
        <v>FALSE</v>
      </c>
      <c r="N181" s="4">
        <f>IF($J181='Auto Responses'!$J$11,1,IF(AND($J181="",$I181='Auto Responses'!$J$11),1,0))</f>
        <v>1</v>
      </c>
      <c r="O181" s="107">
        <f>IF(OR($F$17='Auto Responses'!$J$4,$E181='Auto Responses'!$L$13,$F181='Auto Responses'!$J$5),'Auto Responses'!$J$5,IF($J181="",$K181,IF($J181='Auto Responses'!$J$13,5,IF($J181='Auto Responses'!$J$12,10,IF($J181='Auto Responses'!$J$11,20,0)))))</f>
        <v>20</v>
      </c>
      <c r="P181" s="107">
        <f>IF(OR($O181='Auto Responses'!$J$5,$L181='Auto Responses'!$J$5),'Auto Responses'!$J$5,$O181*$L181)</f>
        <v>0</v>
      </c>
      <c r="Q181" s="107">
        <f t="shared" si="14"/>
        <v>0</v>
      </c>
      <c r="R181" s="107">
        <f t="shared" si="19"/>
        <v>0</v>
      </c>
      <c r="S181" s="107">
        <f t="shared" si="15"/>
        <v>0</v>
      </c>
      <c r="T181" s="107">
        <f t="shared" si="16"/>
        <v>1</v>
      </c>
      <c r="U181" s="107">
        <f t="shared" si="20"/>
        <v>53</v>
      </c>
      <c r="V181" s="107">
        <f t="shared" si="17"/>
        <v>53</v>
      </c>
    </row>
    <row r="182" spans="1:22" ht="55.2" x14ac:dyDescent="0.3">
      <c r="A182" s="4" t="str">
        <f>Questions!$A182</f>
        <v>VULN-02</v>
      </c>
      <c r="B182" s="4" t="str">
        <f t="shared" si="18"/>
        <v>VULN</v>
      </c>
      <c r="C182" s="4" t="str">
        <f>VLOOKUP($A182,Questions!$A$3:$L$333,2,0)&amp;""</f>
        <v>Will you provide results of application and system vulnerability scans to the institution?*</v>
      </c>
      <c r="D182" s="4" t="str">
        <f>VLOOKUP($A182,Questions!$A$3:$L$333,11,0)&amp;""</f>
        <v/>
      </c>
      <c r="E182" s="4" t="str">
        <f>VLOOKUP($A182,Questions!$A$3:$L$333,12,0)&amp;""</f>
        <v>Infrastructure</v>
      </c>
      <c r="F182" s="4" t="str">
        <f>VLOOKUP($A182,'Institution Evaluation'!$A$56:$K$345,3,0)&amp;""</f>
        <v>Yes</v>
      </c>
      <c r="G182" s="4" t="str">
        <f>VLOOKUP($A182,'Institution Evaluation'!$A$56:$K$345,7,0)&amp;""</f>
        <v>Yes</v>
      </c>
      <c r="H182" s="4" t="str">
        <f>VLOOKUP($A182,'Institution Evaluation'!$A$56:$K$345,8,0)&amp;""</f>
        <v/>
      </c>
      <c r="I182" s="4" t="str">
        <f>VLOOKUP($A182,'Institution Evaluation'!$A$56:$K$345,9,0)&amp;""</f>
        <v>Critical Importance</v>
      </c>
      <c r="J182" s="4" t="str">
        <f>VLOOKUP($A182,'Institution Evaluation'!$A$56:$K$345,10,0)&amp;""</f>
        <v/>
      </c>
      <c r="K182" s="4">
        <f>IF($I182='Auto Responses'!$J$11,20,IF($I182='Auto Responses'!$J$13,5,10))</f>
        <v>20</v>
      </c>
      <c r="L182" s="107">
        <f>IF($E182='Auto Responses'!$L$13, 'Auto Responses'!$J$5,IF(AND($D182='Auto Responses'!$J$27,$H182=""),'Auto Responses'!$J$5,IF(AND($D182='Auto Responses'!$J$27,$H182='Auto Responses'!$J$7),1,IF(AND($D182='Auto Responses'!$J$27,$H182='Auto Responses'!$J$8),0,IF(OR(AND($F182=$G182,$H182=""),$H182='Auto Responses'!$J$7),1,0)))))</f>
        <v>1</v>
      </c>
      <c r="M182" s="4" t="str">
        <f>VLOOKUP($A182,'Institution Evaluation'!$A$56:$K$345,11,0)&amp;""</f>
        <v>FALSE</v>
      </c>
      <c r="N182" s="4">
        <f>IF($J182='Auto Responses'!$J$11,1,IF(AND($J182="",$I182='Auto Responses'!$J$11),1,0))</f>
        <v>1</v>
      </c>
      <c r="O182" s="107">
        <f>IF(OR($F$17='Auto Responses'!$J$4,$E182='Auto Responses'!$L$13,$F182='Auto Responses'!$J$5),'Auto Responses'!$J$5,IF($J182="",$K182,IF($J182='Auto Responses'!$J$13,5,IF($J182='Auto Responses'!$J$12,10,IF($J182='Auto Responses'!$J$11,20,0)))))</f>
        <v>20</v>
      </c>
      <c r="P182" s="107">
        <f>IF(OR($O182='Auto Responses'!$J$5,$L182='Auto Responses'!$J$5),'Auto Responses'!$J$5,$O182*$L182)</f>
        <v>20</v>
      </c>
      <c r="Q182" s="107">
        <f t="shared" si="14"/>
        <v>0</v>
      </c>
      <c r="R182" s="107">
        <f t="shared" si="19"/>
        <v>0</v>
      </c>
      <c r="S182" s="107">
        <f t="shared" si="15"/>
        <v>0</v>
      </c>
      <c r="T182" s="107">
        <f t="shared" si="16"/>
        <v>1</v>
      </c>
      <c r="U182" s="107">
        <f t="shared" si="20"/>
        <v>54</v>
      </c>
      <c r="V182" s="107">
        <f t="shared" si="17"/>
        <v>54</v>
      </c>
    </row>
    <row r="183" spans="1:22" ht="55.2" x14ac:dyDescent="0.3">
      <c r="A183" s="4" t="str">
        <f>Questions!$A183</f>
        <v>VULN-03</v>
      </c>
      <c r="B183" s="4" t="str">
        <f t="shared" si="18"/>
        <v>VULN</v>
      </c>
      <c r="C183" s="4" t="str">
        <f>VLOOKUP($A183,Questions!$A$3:$L$333,2,0)&amp;""</f>
        <v>Will you allow the institution to perform its own vulnerability testing and/or scanning of your systems and/or application, provided that testing is performed at a mutually agreed upon time and date?*</v>
      </c>
      <c r="D183" s="4" t="str">
        <f>VLOOKUP($A183,Questions!$A$3:$L$333,11,0)&amp;""</f>
        <v/>
      </c>
      <c r="E183" s="4" t="str">
        <f>VLOOKUP($A183,Questions!$A$3:$L$333,12,0)&amp;""</f>
        <v>Infrastructure</v>
      </c>
      <c r="F183" s="4" t="str">
        <f>VLOOKUP($A183,'Institution Evaluation'!$A$56:$K$345,3,0)&amp;""</f>
        <v>Yes</v>
      </c>
      <c r="G183" s="4" t="str">
        <f>VLOOKUP($A183,'Institution Evaluation'!$A$56:$K$345,7,0)&amp;""</f>
        <v>Yes</v>
      </c>
      <c r="H183" s="4" t="str">
        <f>VLOOKUP($A183,'Institution Evaluation'!$A$56:$K$345,8,0)&amp;""</f>
        <v/>
      </c>
      <c r="I183" s="4" t="str">
        <f>VLOOKUP($A183,'Institution Evaluation'!$A$56:$K$345,9,0)&amp;""</f>
        <v>Critical Importance</v>
      </c>
      <c r="J183" s="4" t="str">
        <f>VLOOKUP($A183,'Institution Evaluation'!$A$56:$K$345,10,0)&amp;""</f>
        <v/>
      </c>
      <c r="K183" s="4">
        <f>IF($I183='Auto Responses'!$J$11,20,IF($I183='Auto Responses'!$J$13,5,10))</f>
        <v>20</v>
      </c>
      <c r="L183" s="107">
        <f>IF($E183='Auto Responses'!$L$13, 'Auto Responses'!$J$5,IF(AND($D183='Auto Responses'!$J$27,$H183=""),'Auto Responses'!$J$5,IF(AND($D183='Auto Responses'!$J$27,$H183='Auto Responses'!$J$7),1,IF(AND($D183='Auto Responses'!$J$27,$H183='Auto Responses'!$J$8),0,IF(OR(AND($F183=$G183,$H183=""),$H183='Auto Responses'!$J$7),1,0)))))</f>
        <v>1</v>
      </c>
      <c r="M183" s="4" t="str">
        <f>VLOOKUP($A183,'Institution Evaluation'!$A$56:$K$345,11,0)&amp;""</f>
        <v>FALSE</v>
      </c>
      <c r="N183" s="4">
        <f>IF($J183='Auto Responses'!$J$11,1,IF(AND($J183="",$I183='Auto Responses'!$J$11),1,0))</f>
        <v>1</v>
      </c>
      <c r="O183" s="107">
        <f>IF(OR($F$17='Auto Responses'!$J$4,$E183='Auto Responses'!$L$13,$F183='Auto Responses'!$J$5),'Auto Responses'!$J$5,IF($J183="",$K183,IF($J183='Auto Responses'!$J$13,5,IF($J183='Auto Responses'!$J$12,10,IF($J183='Auto Responses'!$J$11,20,0)))))</f>
        <v>20</v>
      </c>
      <c r="P183" s="107">
        <f>IF(OR($O183='Auto Responses'!$J$5,$L183='Auto Responses'!$J$5),'Auto Responses'!$J$5,$O183*$L183)</f>
        <v>20</v>
      </c>
      <c r="Q183" s="107">
        <f t="shared" si="14"/>
        <v>0</v>
      </c>
      <c r="R183" s="107">
        <f t="shared" si="19"/>
        <v>0</v>
      </c>
      <c r="S183" s="107">
        <f t="shared" si="15"/>
        <v>0</v>
      </c>
      <c r="T183" s="107">
        <f t="shared" si="16"/>
        <v>1</v>
      </c>
      <c r="U183" s="107">
        <f t="shared" si="20"/>
        <v>55</v>
      </c>
      <c r="V183" s="107">
        <f t="shared" si="17"/>
        <v>55</v>
      </c>
    </row>
    <row r="184" spans="1:22" ht="55.2" x14ac:dyDescent="0.3">
      <c r="A184" s="4" t="str">
        <f>Questions!$A184</f>
        <v>VULN-04</v>
      </c>
      <c r="B184" s="4" t="str">
        <f t="shared" si="18"/>
        <v>VULN</v>
      </c>
      <c r="C184" s="4" t="str">
        <f>VLOOKUP($A184,Questions!$A$3:$L$333,2,0)&amp;""</f>
        <v>Have your systems and applications had a third-party security assessment completed in the last year?</v>
      </c>
      <c r="D184" s="4" t="str">
        <f>VLOOKUP($A184,Questions!$A$3:$L$333,11,0)&amp;""</f>
        <v/>
      </c>
      <c r="E184" s="4" t="str">
        <f>VLOOKUP($A184,Questions!$A$3:$L$333,12,0)&amp;""</f>
        <v>Infrastructure</v>
      </c>
      <c r="F184" s="4" t="str">
        <f>VLOOKUP($A184,'Institution Evaluation'!$A$56:$K$345,3,0)&amp;""</f>
        <v>Yes</v>
      </c>
      <c r="G184" s="4" t="str">
        <f>VLOOKUP($A184,'Institution Evaluation'!$A$56:$K$345,7,0)&amp;""</f>
        <v>Yes</v>
      </c>
      <c r="H184" s="4" t="str">
        <f>VLOOKUP($A184,'Institution Evaluation'!$A$56:$K$345,8,0)&amp;""</f>
        <v/>
      </c>
      <c r="I184" s="4" t="str">
        <f>VLOOKUP($A184,'Institution Evaluation'!$A$56:$K$345,9,0)&amp;""</f>
        <v>Standard Importance</v>
      </c>
      <c r="J184" s="4" t="str">
        <f>VLOOKUP($A184,'Institution Evaluation'!$A$56:$K$345,10,0)&amp;""</f>
        <v/>
      </c>
      <c r="K184" s="4">
        <f>IF($I184='Auto Responses'!$J$11,20,IF($I184='Auto Responses'!$J$13,5,10))</f>
        <v>10</v>
      </c>
      <c r="L184" s="107">
        <f>IF($E184='Auto Responses'!$L$13, 'Auto Responses'!$J$5,IF(AND($D184='Auto Responses'!$J$27,$H184=""),'Auto Responses'!$J$5,IF(AND($D184='Auto Responses'!$J$27,$H184='Auto Responses'!$J$7),1,IF(AND($D184='Auto Responses'!$J$27,$H184='Auto Responses'!$J$8),0,IF(OR(AND($F184=$G184,$H184=""),$H184='Auto Responses'!$J$7),1,0)))))</f>
        <v>1</v>
      </c>
      <c r="M184" s="4" t="str">
        <f>VLOOKUP($A184,'Institution Evaluation'!$A$56:$K$345,11,0)&amp;""</f>
        <v>FALSE</v>
      </c>
      <c r="N184" s="4">
        <f>IF($J184='Auto Responses'!$J$11,1,IF(AND($J184="",$I184='Auto Responses'!$J$11),1,0))</f>
        <v>0</v>
      </c>
      <c r="O184" s="107">
        <f>IF(OR($F$17='Auto Responses'!$J$4,$E184='Auto Responses'!$L$13,$F184='Auto Responses'!$J$5),'Auto Responses'!$J$5,IF($J184="",$K184,IF($J184='Auto Responses'!$J$13,5,IF($J184='Auto Responses'!$J$12,10,IF($J184='Auto Responses'!$J$11,20,0)))))</f>
        <v>10</v>
      </c>
      <c r="P184" s="107">
        <f>IF(OR($O184='Auto Responses'!$J$5,$L184='Auto Responses'!$J$5),'Auto Responses'!$J$5,$O184*$L184)</f>
        <v>10</v>
      </c>
      <c r="Q184" s="107">
        <f t="shared" si="14"/>
        <v>0</v>
      </c>
      <c r="R184" s="107">
        <f t="shared" si="19"/>
        <v>0</v>
      </c>
      <c r="S184" s="107">
        <f t="shared" si="15"/>
        <v>0</v>
      </c>
      <c r="T184" s="107">
        <f t="shared" si="16"/>
        <v>0</v>
      </c>
      <c r="U184" s="107">
        <f t="shared" si="20"/>
        <v>55</v>
      </c>
      <c r="V184" s="107">
        <f t="shared" si="17"/>
        <v>0</v>
      </c>
    </row>
    <row r="185" spans="1:22" ht="55.2" x14ac:dyDescent="0.3">
      <c r="A185" s="4" t="str">
        <f>Questions!$A185</f>
        <v>VULN-05</v>
      </c>
      <c r="B185" s="4" t="str">
        <f t="shared" si="18"/>
        <v>VULN</v>
      </c>
      <c r="C185" s="4" t="str">
        <f>VLOOKUP($A185,Questions!$A$3:$L$333,2,0)&amp;""</f>
        <v>Do you regularly scan for common web application security vulnerabilities (e.g., SQL injection, XSS, XSRF, etc.)?</v>
      </c>
      <c r="D185" s="4" t="str">
        <f>VLOOKUP($A185,Questions!$A$3:$L$333,11,0)&amp;""</f>
        <v/>
      </c>
      <c r="E185" s="4" t="str">
        <f>VLOOKUP($A185,Questions!$A$3:$L$333,12,0)&amp;""</f>
        <v>Infrastructure</v>
      </c>
      <c r="F185" s="4" t="str">
        <f>VLOOKUP($A185,'Institution Evaluation'!$A$56:$K$345,3,0)&amp;""</f>
        <v>Yes</v>
      </c>
      <c r="G185" s="4" t="str">
        <f>VLOOKUP($A185,'Institution Evaluation'!$A$56:$K$345,7,0)&amp;""</f>
        <v>Yes</v>
      </c>
      <c r="H185" s="4" t="str">
        <f>VLOOKUP($A185,'Institution Evaluation'!$A$56:$K$345,8,0)&amp;""</f>
        <v/>
      </c>
      <c r="I185" s="4" t="str">
        <f>VLOOKUP($A185,'Institution Evaluation'!$A$56:$K$345,9,0)&amp;""</f>
        <v>Standard Importance</v>
      </c>
      <c r="J185" s="4" t="str">
        <f>VLOOKUP($A185,'Institution Evaluation'!$A$56:$K$345,10,0)&amp;""</f>
        <v/>
      </c>
      <c r="K185" s="4">
        <f>IF($I185='Auto Responses'!$J$11,20,IF($I185='Auto Responses'!$J$13,5,10))</f>
        <v>10</v>
      </c>
      <c r="L185" s="107">
        <f>IF($E185='Auto Responses'!$L$13, 'Auto Responses'!$J$5,IF(AND($D185='Auto Responses'!$J$27,$H185=""),'Auto Responses'!$J$5,IF(AND($D185='Auto Responses'!$J$27,$H185='Auto Responses'!$J$7),1,IF(AND($D185='Auto Responses'!$J$27,$H185='Auto Responses'!$J$8),0,IF(OR(AND($F185=$G185,$H185=""),$H185='Auto Responses'!$J$7),1,0)))))</f>
        <v>1</v>
      </c>
      <c r="M185" s="4" t="str">
        <f>VLOOKUP($A185,'Institution Evaluation'!$A$56:$K$345,11,0)&amp;""</f>
        <v>FALSE</v>
      </c>
      <c r="N185" s="4">
        <f>IF($J185='Auto Responses'!$J$11,1,IF(AND($J185="",$I185='Auto Responses'!$J$11),1,0))</f>
        <v>0</v>
      </c>
      <c r="O185" s="107">
        <f>IF(OR($F$17='Auto Responses'!$J$4,$E185='Auto Responses'!$L$13,$F185='Auto Responses'!$J$5),'Auto Responses'!$J$5,IF($J185="",$K185,IF($J185='Auto Responses'!$J$13,5,IF($J185='Auto Responses'!$J$12,10,IF($J185='Auto Responses'!$J$11,20,0)))))</f>
        <v>10</v>
      </c>
      <c r="P185" s="107">
        <f>IF(OR($O185='Auto Responses'!$J$5,$L185='Auto Responses'!$J$5),'Auto Responses'!$J$5,$O185*$L185)</f>
        <v>10</v>
      </c>
      <c r="Q185" s="107">
        <f t="shared" si="14"/>
        <v>0</v>
      </c>
      <c r="R185" s="107">
        <f t="shared" si="19"/>
        <v>0</v>
      </c>
      <c r="S185" s="107">
        <f t="shared" si="15"/>
        <v>0</v>
      </c>
      <c r="T185" s="107">
        <f t="shared" si="16"/>
        <v>0</v>
      </c>
      <c r="U185" s="107">
        <f t="shared" si="20"/>
        <v>55</v>
      </c>
      <c r="V185" s="107">
        <f t="shared" si="17"/>
        <v>0</v>
      </c>
    </row>
    <row r="186" spans="1:22" ht="55.2" x14ac:dyDescent="0.3">
      <c r="A186" s="4" t="str">
        <f>Questions!$A186</f>
        <v>VULN-06</v>
      </c>
      <c r="B186" s="4" t="str">
        <f t="shared" si="18"/>
        <v>VULN</v>
      </c>
      <c r="C186" s="4" t="str">
        <f>VLOOKUP($A186,Questions!$A$3:$L$333,2,0)&amp;""</f>
        <v>Are your systems and applications regularly scanned externally for vulnerabilities?</v>
      </c>
      <c r="D186" s="4" t="str">
        <f>VLOOKUP($A186,Questions!$A$3:$L$333,11,0)&amp;""</f>
        <v/>
      </c>
      <c r="E186" s="4" t="str">
        <f>VLOOKUP($A186,Questions!$A$3:$L$333,12,0)&amp;""</f>
        <v>Infrastructure</v>
      </c>
      <c r="F186" s="4" t="str">
        <f>VLOOKUP($A186,'Institution Evaluation'!$A$56:$K$345,3,0)&amp;""</f>
        <v>No</v>
      </c>
      <c r="G186" s="4" t="str">
        <f>VLOOKUP($A186,'Institution Evaluation'!$A$56:$K$345,7,0)&amp;""</f>
        <v>Yes</v>
      </c>
      <c r="H186" s="4" t="str">
        <f>VLOOKUP($A186,'Institution Evaluation'!$A$56:$K$345,8,0)&amp;""</f>
        <v/>
      </c>
      <c r="I186" s="4" t="str">
        <f>VLOOKUP($A186,'Institution Evaluation'!$A$56:$K$345,9,0)&amp;""</f>
        <v>Minor Importance</v>
      </c>
      <c r="J186" s="4" t="str">
        <f>VLOOKUP($A186,'Institution Evaluation'!$A$56:$K$345,10,0)&amp;""</f>
        <v/>
      </c>
      <c r="K186" s="4">
        <f>IF($I186='Auto Responses'!$J$11,20,IF($I186='Auto Responses'!$J$13,5,10))</f>
        <v>5</v>
      </c>
      <c r="L186" s="107">
        <f>IF($E186='Auto Responses'!$L$13, 'Auto Responses'!$J$5,IF(AND($D186='Auto Responses'!$J$27,$H186=""),'Auto Responses'!$J$5,IF(AND($D186='Auto Responses'!$J$27,$H186='Auto Responses'!$J$7),1,IF(AND($D186='Auto Responses'!$J$27,$H186='Auto Responses'!$J$8),0,IF(OR(AND($F186=$G186,$H186=""),$H186='Auto Responses'!$J$7),1,0)))))</f>
        <v>0</v>
      </c>
      <c r="M186" s="4" t="str">
        <f>VLOOKUP($A186,'Institution Evaluation'!$A$56:$K$345,11,0)&amp;""</f>
        <v>FALSE</v>
      </c>
      <c r="N186" s="4">
        <f>IF($J186='Auto Responses'!$J$11,1,IF(AND($J186="",$I186='Auto Responses'!$J$11),1,0))</f>
        <v>0</v>
      </c>
      <c r="O186" s="107">
        <f>IF(OR($F$17='Auto Responses'!$J$4,$E186='Auto Responses'!$L$13,$F186='Auto Responses'!$J$5),'Auto Responses'!$J$5,IF($J186="",$K186,IF($J186='Auto Responses'!$J$13,5,IF($J186='Auto Responses'!$J$12,10,IF($J186='Auto Responses'!$J$11,20,0)))))</f>
        <v>5</v>
      </c>
      <c r="P186" s="107">
        <f>IF(OR($O186='Auto Responses'!$J$5,$L186='Auto Responses'!$J$5),'Auto Responses'!$J$5,$O186*$L186)</f>
        <v>0</v>
      </c>
      <c r="Q186" s="107">
        <f t="shared" si="14"/>
        <v>0</v>
      </c>
      <c r="R186" s="107">
        <f t="shared" si="19"/>
        <v>0</v>
      </c>
      <c r="S186" s="107">
        <f t="shared" si="15"/>
        <v>0</v>
      </c>
      <c r="T186" s="107">
        <f t="shared" si="16"/>
        <v>0</v>
      </c>
      <c r="U186" s="107">
        <f t="shared" si="20"/>
        <v>55</v>
      </c>
      <c r="V186" s="107">
        <f t="shared" si="17"/>
        <v>0</v>
      </c>
    </row>
    <row r="187" spans="1:22" ht="55.2" x14ac:dyDescent="0.3">
      <c r="A187" s="4" t="str">
        <f>Questions!$A187</f>
        <v>HIPA-01</v>
      </c>
      <c r="B187" s="4" t="str">
        <f t="shared" si="18"/>
        <v>HIPA</v>
      </c>
      <c r="C187" s="4" t="str">
        <f>VLOOKUP($A187,Questions!$A$3:$L$333,2,0)&amp;""</f>
        <v>Do your workforce members receive regular training related to the Health Insurance Portability and Accountability Act (HIPAA) Privacy and Security Rules and the HITECH Act?*</v>
      </c>
      <c r="D187" s="4" t="str">
        <f>VLOOKUP($A187,Questions!$A$3:$L$333,11,0)&amp;""</f>
        <v/>
      </c>
      <c r="E187" s="4" t="str">
        <f>VLOOKUP($A187,Questions!$A$3:$L$333,12,0)&amp;""</f>
        <v>Case-specific</v>
      </c>
      <c r="F187" s="4" t="str">
        <f>VLOOKUP($A187,'Institution Evaluation'!$A$56:$K$345,3,0)&amp;""</f>
        <v/>
      </c>
      <c r="G187" s="4" t="str">
        <f>VLOOKUP($A187,'Institution Evaluation'!$A$56:$K$345,7,0)&amp;""</f>
        <v>Yes</v>
      </c>
      <c r="H187" s="4" t="str">
        <f>VLOOKUP($A187,'Institution Evaluation'!$A$56:$K$345,8,0)&amp;""</f>
        <v/>
      </c>
      <c r="I187" s="4" t="str">
        <f>VLOOKUP($A187,'Institution Evaluation'!$A$56:$K$345,9,0)&amp;""</f>
        <v>Critical Importance</v>
      </c>
      <c r="J187" s="4" t="str">
        <f>VLOOKUP($A187,'Institution Evaluation'!$A$56:$K$345,10,0)&amp;""</f>
        <v/>
      </c>
      <c r="K187" s="4">
        <f>IF($I187='Auto Responses'!$J$11,20,IF($I187='Auto Responses'!$J$13,5,10))</f>
        <v>20</v>
      </c>
      <c r="L187" s="107">
        <f>IF($E187='Auto Responses'!$L$13, 'Auto Responses'!$J$5,IF(AND($D187='Auto Responses'!$J$27,$H187=""),'Auto Responses'!$J$5,IF(AND($D187='Auto Responses'!$J$27,$H187='Auto Responses'!$J$7),1,IF(AND($D187='Auto Responses'!$J$27,$H187='Auto Responses'!$J$8),0,IF(OR(AND($F187=$G187,$H187=""),$H187='Auto Responses'!$J$7),1,0)))))</f>
        <v>0</v>
      </c>
      <c r="M187" s="4" t="str">
        <f>VLOOKUP($A187,'Institution Evaluation'!$A$56:$K$345,11,0)&amp;""</f>
        <v>FALSE</v>
      </c>
      <c r="N187" s="4">
        <f>IF($J187='Auto Responses'!$J$11,1,IF(AND($J187="",$I187='Auto Responses'!$J$11),1,0))</f>
        <v>1</v>
      </c>
      <c r="O187" s="107" t="str">
        <f>IF(OR($F$21='Auto Responses'!$J$4,$E187='Auto Responses'!$L$13,$F187='Auto Responses'!$J$5),'Auto Responses'!$J$5,IF($J187="",$K187,IF($J187='Auto Responses'!$J$13,5,IF($J187='Auto Responses'!$J$12,10,IF($J187='Auto Responses'!$J$11,20,0)))))</f>
        <v>N/A</v>
      </c>
      <c r="P187" s="107" t="str">
        <f>IF(OR($O187='Auto Responses'!$J$5,$L187='Auto Responses'!$J$5),'Auto Responses'!$J$5,$O187*$L187)</f>
        <v>N/A</v>
      </c>
      <c r="Q187" s="107">
        <f t="shared" si="14"/>
        <v>0</v>
      </c>
      <c r="R187" s="107">
        <f t="shared" si="19"/>
        <v>0</v>
      </c>
      <c r="S187" s="107">
        <f t="shared" si="15"/>
        <v>0</v>
      </c>
      <c r="T187" s="107">
        <f t="shared" si="16"/>
        <v>1</v>
      </c>
      <c r="U187" s="107">
        <f t="shared" si="20"/>
        <v>56</v>
      </c>
      <c r="V187" s="107">
        <f t="shared" si="17"/>
        <v>56</v>
      </c>
    </row>
    <row r="188" spans="1:22" ht="55.2" x14ac:dyDescent="0.3">
      <c r="A188" s="4" t="str">
        <f>Questions!$A188</f>
        <v>HIPA-02</v>
      </c>
      <c r="B188" s="4" t="str">
        <f t="shared" si="18"/>
        <v>HIPA</v>
      </c>
      <c r="C188" s="4" t="str">
        <f>VLOOKUP($A188,Questions!$A$3:$L$333,2,0)&amp;""</f>
        <v>Have you identified areas of risk?*</v>
      </c>
      <c r="D188" s="4" t="str">
        <f>VLOOKUP($A188,Questions!$A$3:$L$333,11,0)&amp;""</f>
        <v/>
      </c>
      <c r="E188" s="4" t="str">
        <f>VLOOKUP($A188,Questions!$A$3:$L$333,12,0)&amp;""</f>
        <v>Case-specific</v>
      </c>
      <c r="F188" s="4" t="str">
        <f>VLOOKUP($A188,'Institution Evaluation'!$A$56:$K$345,3,0)&amp;""</f>
        <v/>
      </c>
      <c r="G188" s="4" t="str">
        <f>VLOOKUP($A188,'Institution Evaluation'!$A$56:$K$345,7,0)&amp;""</f>
        <v>Yes</v>
      </c>
      <c r="H188" s="4" t="str">
        <f>VLOOKUP($A188,'Institution Evaluation'!$A$56:$K$345,8,0)&amp;""</f>
        <v/>
      </c>
      <c r="I188" s="4" t="str">
        <f>VLOOKUP($A188,'Institution Evaluation'!$A$56:$K$345,9,0)&amp;""</f>
        <v>Critical Importance</v>
      </c>
      <c r="J188" s="4" t="str">
        <f>VLOOKUP($A188,'Institution Evaluation'!$A$56:$K$345,10,0)&amp;""</f>
        <v/>
      </c>
      <c r="K188" s="4">
        <f>IF($I188='Auto Responses'!$J$11,20,IF($I188='Auto Responses'!$J$13,5,10))</f>
        <v>20</v>
      </c>
      <c r="L188" s="107">
        <f>IF($E188='Auto Responses'!$L$13, 'Auto Responses'!$J$5,IF(AND($D188='Auto Responses'!$J$27,$H188=""),'Auto Responses'!$J$5,IF(AND($D188='Auto Responses'!$J$27,$H188='Auto Responses'!$J$7),1,IF(AND($D188='Auto Responses'!$J$27,$H188='Auto Responses'!$J$8),0,IF(OR(AND($F188=$G188,$H188=""),$H188='Auto Responses'!$J$7),1,0)))))</f>
        <v>0</v>
      </c>
      <c r="M188" s="4" t="str">
        <f>VLOOKUP($A188,'Institution Evaluation'!$A$56:$K$345,11,0)&amp;""</f>
        <v>FALSE</v>
      </c>
      <c r="N188" s="4">
        <f>IF($J188='Auto Responses'!$J$11,1,IF(AND($J188="",$I188='Auto Responses'!$J$11),1,0))</f>
        <v>1</v>
      </c>
      <c r="O188" s="107" t="str">
        <f>IF(OR($F$21='Auto Responses'!$J$4,$E188='Auto Responses'!$L$13,$F188='Auto Responses'!$J$5),'Auto Responses'!$J$5,IF($J188="",$K188,IF($J188='Auto Responses'!$J$13,5,IF($J188='Auto Responses'!$J$12,10,IF($J188='Auto Responses'!$J$11,20,0)))))</f>
        <v>N/A</v>
      </c>
      <c r="P188" s="107" t="str">
        <f>IF(OR($O188='Auto Responses'!$J$5,$L188='Auto Responses'!$J$5),'Auto Responses'!$J$5,$O188*$L188)</f>
        <v>N/A</v>
      </c>
      <c r="Q188" s="107">
        <f t="shared" si="14"/>
        <v>0</v>
      </c>
      <c r="R188" s="107">
        <f t="shared" si="19"/>
        <v>0</v>
      </c>
      <c r="S188" s="107">
        <f t="shared" si="15"/>
        <v>0</v>
      </c>
      <c r="T188" s="107">
        <f t="shared" si="16"/>
        <v>1</v>
      </c>
      <c r="U188" s="107">
        <f t="shared" si="20"/>
        <v>57</v>
      </c>
      <c r="V188" s="107">
        <f t="shared" si="17"/>
        <v>57</v>
      </c>
    </row>
    <row r="189" spans="1:22" ht="55.2" x14ac:dyDescent="0.3">
      <c r="A189" s="4" t="str">
        <f>Questions!$A189</f>
        <v>HIPA-03</v>
      </c>
      <c r="B189" s="4" t="str">
        <f t="shared" si="18"/>
        <v>HIPA</v>
      </c>
      <c r="C189" s="4" t="str">
        <f>VLOOKUP($A189,Questions!$A$3:$L$333,2,0)&amp;""</f>
        <v>Have the relevant policies/plans been tested?*</v>
      </c>
      <c r="D189" s="4" t="str">
        <f>VLOOKUP($A189,Questions!$A$3:$L$333,11,0)&amp;""</f>
        <v/>
      </c>
      <c r="E189" s="4" t="str">
        <f>VLOOKUP($A189,Questions!$A$3:$L$333,12,0)&amp;""</f>
        <v>Case-specific</v>
      </c>
      <c r="F189" s="4" t="str">
        <f>VLOOKUP($A189,'Institution Evaluation'!$A$56:$K$345,3,0)&amp;""</f>
        <v/>
      </c>
      <c r="G189" s="4" t="str">
        <f>VLOOKUP($A189,'Institution Evaluation'!$A$56:$K$345,7,0)&amp;""</f>
        <v>Yes</v>
      </c>
      <c r="H189" s="4" t="str">
        <f>VLOOKUP($A189,'Institution Evaluation'!$A$56:$K$345,8,0)&amp;""</f>
        <v/>
      </c>
      <c r="I189" s="4" t="str">
        <f>VLOOKUP($A189,'Institution Evaluation'!$A$56:$K$345,9,0)&amp;""</f>
        <v>Critical Importance</v>
      </c>
      <c r="J189" s="4" t="str">
        <f>VLOOKUP($A189,'Institution Evaluation'!$A$56:$K$345,10,0)&amp;""</f>
        <v/>
      </c>
      <c r="K189" s="4">
        <f>IF($I189='Auto Responses'!$J$11,20,IF($I189='Auto Responses'!$J$13,5,10))</f>
        <v>20</v>
      </c>
      <c r="L189" s="107">
        <f>IF($E189='Auto Responses'!$L$13, 'Auto Responses'!$J$5,IF(AND($D189='Auto Responses'!$J$27,$H189=""),'Auto Responses'!$J$5,IF(AND($D189='Auto Responses'!$J$27,$H189='Auto Responses'!$J$7),1,IF(AND($D189='Auto Responses'!$J$27,$H189='Auto Responses'!$J$8),0,IF(OR(AND($F189=$G189,$H189=""),$H189='Auto Responses'!$J$7),1,0)))))</f>
        <v>0</v>
      </c>
      <c r="M189" s="4" t="str">
        <f>VLOOKUP($A189,'Institution Evaluation'!$A$56:$K$345,11,0)&amp;""</f>
        <v>FALSE</v>
      </c>
      <c r="N189" s="4">
        <f>IF($J189='Auto Responses'!$J$11,1,IF(AND($J189="",$I189='Auto Responses'!$J$11),1,0))</f>
        <v>1</v>
      </c>
      <c r="O189" s="107" t="str">
        <f>IF(OR($F$21='Auto Responses'!$J$4,$E189='Auto Responses'!$L$13,$F189='Auto Responses'!$J$5),'Auto Responses'!$J$5,IF($J189="",$K189,IF($J189='Auto Responses'!$J$13,5,IF($J189='Auto Responses'!$J$12,10,IF($J189='Auto Responses'!$J$11,20,0)))))</f>
        <v>N/A</v>
      </c>
      <c r="P189" s="107" t="str">
        <f>IF(OR($O189='Auto Responses'!$J$5,$L189='Auto Responses'!$J$5),'Auto Responses'!$J$5,$O189*$L189)</f>
        <v>N/A</v>
      </c>
      <c r="Q189" s="107">
        <f t="shared" si="14"/>
        <v>0</v>
      </c>
      <c r="R189" s="107">
        <f t="shared" si="19"/>
        <v>0</v>
      </c>
      <c r="S189" s="107">
        <f t="shared" si="15"/>
        <v>0</v>
      </c>
      <c r="T189" s="107">
        <f t="shared" si="16"/>
        <v>1</v>
      </c>
      <c r="U189" s="107">
        <f t="shared" si="20"/>
        <v>58</v>
      </c>
      <c r="V189" s="107">
        <f t="shared" si="17"/>
        <v>58</v>
      </c>
    </row>
    <row r="190" spans="1:22" ht="55.2" x14ac:dyDescent="0.3">
      <c r="A190" s="4" t="str">
        <f>Questions!$A190</f>
        <v>HIPA-04</v>
      </c>
      <c r="B190" s="4" t="str">
        <f t="shared" si="18"/>
        <v>HIPA</v>
      </c>
      <c r="C190" s="4" t="str">
        <f>VLOOKUP($A190,Questions!$A$3:$L$333,2,0)&amp;""</f>
        <v>Have you entered into a Business Associate Agreements with all subcontractors who may have access to protected health information (PHI)?*</v>
      </c>
      <c r="D190" s="4" t="str">
        <f>VLOOKUP($A190,Questions!$A$3:$L$333,11,0)&amp;""</f>
        <v/>
      </c>
      <c r="E190" s="4" t="str">
        <f>VLOOKUP($A190,Questions!$A$3:$L$333,12,0)&amp;""</f>
        <v>Case-specific</v>
      </c>
      <c r="F190" s="4" t="str">
        <f>VLOOKUP($A190,'Institution Evaluation'!$A$56:$K$345,3,0)&amp;""</f>
        <v/>
      </c>
      <c r="G190" s="4" t="str">
        <f>VLOOKUP($A190,'Institution Evaluation'!$A$56:$K$345,7,0)&amp;""</f>
        <v>Yes</v>
      </c>
      <c r="H190" s="4" t="str">
        <f>VLOOKUP($A190,'Institution Evaluation'!$A$56:$K$345,8,0)&amp;""</f>
        <v/>
      </c>
      <c r="I190" s="4" t="str">
        <f>VLOOKUP($A190,'Institution Evaluation'!$A$56:$K$345,9,0)&amp;""</f>
        <v>Critical Importance</v>
      </c>
      <c r="J190" s="4" t="str">
        <f>VLOOKUP($A190,'Institution Evaluation'!$A$56:$K$345,10,0)&amp;""</f>
        <v/>
      </c>
      <c r="K190" s="4">
        <f>IF($I190='Auto Responses'!$J$11,20,IF($I190='Auto Responses'!$J$13,5,10))</f>
        <v>20</v>
      </c>
      <c r="L190" s="107">
        <f>IF($E190='Auto Responses'!$L$13, 'Auto Responses'!$J$5,IF(AND($D190='Auto Responses'!$J$27,$H190=""),'Auto Responses'!$J$5,IF(AND($D190='Auto Responses'!$J$27,$H190='Auto Responses'!$J$7),1,IF(AND($D190='Auto Responses'!$J$27,$H190='Auto Responses'!$J$8),0,IF(OR(AND($F190=$G190,$H190=""),$H190='Auto Responses'!$J$7),1,0)))))</f>
        <v>0</v>
      </c>
      <c r="M190" s="4" t="str">
        <f>VLOOKUP($A190,'Institution Evaluation'!$A$56:$K$345,11,0)&amp;""</f>
        <v>FALSE</v>
      </c>
      <c r="N190" s="4">
        <f>IF($J190='Auto Responses'!$J$11,1,IF(AND($J190="",$I190='Auto Responses'!$J$11),1,0))</f>
        <v>1</v>
      </c>
      <c r="O190" s="107" t="str">
        <f>IF(OR($F$21='Auto Responses'!$J$4,$E190='Auto Responses'!$L$13,$F190='Auto Responses'!$J$5),'Auto Responses'!$J$5,IF($J190="",$K190,IF($J190='Auto Responses'!$J$13,5,IF($J190='Auto Responses'!$J$12,10,IF($J190='Auto Responses'!$J$11,20,0)))))</f>
        <v>N/A</v>
      </c>
      <c r="P190" s="107" t="str">
        <f>IF(OR($O190='Auto Responses'!$J$5,$L190='Auto Responses'!$J$5),'Auto Responses'!$J$5,$O190*$L190)</f>
        <v>N/A</v>
      </c>
      <c r="Q190" s="107">
        <f t="shared" ref="Q190:Q253" si="21">IF(M190="TRUE",1,0)</f>
        <v>0</v>
      </c>
      <c r="R190" s="107">
        <f t="shared" si="19"/>
        <v>0</v>
      </c>
      <c r="S190" s="107">
        <f t="shared" ref="S190:S253" si="22">IF(Q190=0,0,R190)</f>
        <v>0</v>
      </c>
      <c r="T190" s="107">
        <f t="shared" ref="T190:T253" si="23">IF(N190=1,1,0)</f>
        <v>1</v>
      </c>
      <c r="U190" s="107">
        <f t="shared" si="20"/>
        <v>59</v>
      </c>
      <c r="V190" s="107">
        <f t="shared" ref="V190:V253" si="24">IF(T190=0,0,U190)</f>
        <v>59</v>
      </c>
    </row>
    <row r="191" spans="1:22" ht="55.2" x14ac:dyDescent="0.3">
      <c r="A191" s="4" t="str">
        <f>Questions!$A191</f>
        <v>HIPA-05</v>
      </c>
      <c r="B191" s="4" t="str">
        <f t="shared" ref="B191:B254" si="25">LEFT(A191,4)</f>
        <v>HIPA</v>
      </c>
      <c r="C191" s="4" t="str">
        <f>VLOOKUP($A191,Questions!$A$3:$L$333,2,0)&amp;""</f>
        <v>Do you monitor or receive information regarding changes in HIPAA regulations?</v>
      </c>
      <c r="D191" s="4" t="str">
        <f>VLOOKUP($A191,Questions!$A$3:$L$333,11,0)&amp;""</f>
        <v/>
      </c>
      <c r="E191" s="4" t="str">
        <f>VLOOKUP($A191,Questions!$A$3:$L$333,12,0)&amp;""</f>
        <v>Case-specific</v>
      </c>
      <c r="F191" s="4" t="str">
        <f>VLOOKUP($A191,'Institution Evaluation'!$A$56:$K$345,3,0)&amp;""</f>
        <v/>
      </c>
      <c r="G191" s="4" t="str">
        <f>VLOOKUP($A191,'Institution Evaluation'!$A$56:$K$345,7,0)&amp;""</f>
        <v>Yes</v>
      </c>
      <c r="H191" s="4" t="str">
        <f>VLOOKUP($A191,'Institution Evaluation'!$A$56:$K$345,8,0)&amp;""</f>
        <v/>
      </c>
      <c r="I191" s="4" t="str">
        <f>VLOOKUP($A191,'Institution Evaluation'!$A$56:$K$345,9,0)&amp;""</f>
        <v>Standard Importance</v>
      </c>
      <c r="J191" s="4" t="str">
        <f>VLOOKUP($A191,'Institution Evaluation'!$A$56:$K$345,10,0)&amp;""</f>
        <v/>
      </c>
      <c r="K191" s="4">
        <f>IF($I191='Auto Responses'!$J$11,20,IF($I191='Auto Responses'!$J$13,5,10))</f>
        <v>10</v>
      </c>
      <c r="L191" s="107">
        <f>IF($E191='Auto Responses'!$L$13, 'Auto Responses'!$J$5,IF(AND($D191='Auto Responses'!$J$27,$H191=""),'Auto Responses'!$J$5,IF(AND($D191='Auto Responses'!$J$27,$H191='Auto Responses'!$J$7),1,IF(AND($D191='Auto Responses'!$J$27,$H191='Auto Responses'!$J$8),0,IF(OR(AND($F191=$G191,$H191=""),$H191='Auto Responses'!$J$7),1,0)))))</f>
        <v>0</v>
      </c>
      <c r="M191" s="4" t="str">
        <f>VLOOKUP($A191,'Institution Evaluation'!$A$56:$K$345,11,0)&amp;""</f>
        <v>FALSE</v>
      </c>
      <c r="N191" s="4">
        <f>IF($J191='Auto Responses'!$J$11,1,IF(AND($J191="",$I191='Auto Responses'!$J$11),1,0))</f>
        <v>0</v>
      </c>
      <c r="O191" s="107" t="str">
        <f>IF(OR($F$21='Auto Responses'!$J$4,$E191='Auto Responses'!$L$13,$F191='Auto Responses'!$J$5),'Auto Responses'!$J$5,IF($J191="",$K191,IF($J191='Auto Responses'!$J$13,5,IF($J191='Auto Responses'!$J$12,10,IF($J191='Auto Responses'!$J$11,20,0)))))</f>
        <v>N/A</v>
      </c>
      <c r="P191" s="107" t="str">
        <f>IF(OR($O191='Auto Responses'!$J$5,$L191='Auto Responses'!$J$5),'Auto Responses'!$J$5,$O191*$L191)</f>
        <v>N/A</v>
      </c>
      <c r="Q191" s="107">
        <f t="shared" si="21"/>
        <v>0</v>
      </c>
      <c r="R191" s="107">
        <f t="shared" si="19"/>
        <v>0</v>
      </c>
      <c r="S191" s="107">
        <f t="shared" si="22"/>
        <v>0</v>
      </c>
      <c r="T191" s="107">
        <f t="shared" si="23"/>
        <v>0</v>
      </c>
      <c r="U191" s="107">
        <f t="shared" si="20"/>
        <v>59</v>
      </c>
      <c r="V191" s="107">
        <f t="shared" si="24"/>
        <v>0</v>
      </c>
    </row>
    <row r="192" spans="1:22" ht="55.2" x14ac:dyDescent="0.3">
      <c r="A192" s="4" t="str">
        <f>Questions!$A192</f>
        <v>HIPA-06</v>
      </c>
      <c r="B192" s="4" t="str">
        <f t="shared" si="25"/>
        <v>HIPA</v>
      </c>
      <c r="C192" s="4" t="str">
        <f>VLOOKUP($A192,Questions!$A$3:$L$333,2,0)&amp;""</f>
        <v>Has your organization designated HIPAA Privacy and Security officers as required by the rules?</v>
      </c>
      <c r="D192" s="4" t="str">
        <f>VLOOKUP($A192,Questions!$A$3:$L$333,11,0)&amp;""</f>
        <v/>
      </c>
      <c r="E192" s="4" t="str">
        <f>VLOOKUP($A192,Questions!$A$3:$L$333,12,0)&amp;""</f>
        <v>Case-specific</v>
      </c>
      <c r="F192" s="4" t="str">
        <f>VLOOKUP($A192,'Institution Evaluation'!$A$56:$K$345,3,0)&amp;""</f>
        <v/>
      </c>
      <c r="G192" s="4" t="str">
        <f>VLOOKUP($A192,'Institution Evaluation'!$A$56:$K$345,7,0)&amp;""</f>
        <v>Yes</v>
      </c>
      <c r="H192" s="4" t="str">
        <f>VLOOKUP($A192,'Institution Evaluation'!$A$56:$K$345,8,0)&amp;""</f>
        <v/>
      </c>
      <c r="I192" s="4" t="str">
        <f>VLOOKUP($A192,'Institution Evaluation'!$A$56:$K$345,9,0)&amp;""</f>
        <v>Standard Importance</v>
      </c>
      <c r="J192" s="4" t="str">
        <f>VLOOKUP($A192,'Institution Evaluation'!$A$56:$K$345,10,0)&amp;""</f>
        <v/>
      </c>
      <c r="K192" s="4">
        <f>IF($I192='Auto Responses'!$J$11,20,IF($I192='Auto Responses'!$J$13,5,10))</f>
        <v>10</v>
      </c>
      <c r="L192" s="107">
        <f>IF($E192='Auto Responses'!$L$13, 'Auto Responses'!$J$5,IF(AND($D192='Auto Responses'!$J$27,$H192=""),'Auto Responses'!$J$5,IF(AND($D192='Auto Responses'!$J$27,$H192='Auto Responses'!$J$7),1,IF(AND($D192='Auto Responses'!$J$27,$H192='Auto Responses'!$J$8),0,IF(OR(AND($F192=$G192,$H192=""),$H192='Auto Responses'!$J$7),1,0)))))</f>
        <v>0</v>
      </c>
      <c r="M192" s="4" t="str">
        <f>VLOOKUP($A192,'Institution Evaluation'!$A$56:$K$345,11,0)&amp;""</f>
        <v>FALSE</v>
      </c>
      <c r="N192" s="4">
        <f>IF($J192='Auto Responses'!$J$11,1,IF(AND($J192="",$I192='Auto Responses'!$J$11),1,0))</f>
        <v>0</v>
      </c>
      <c r="O192" s="107" t="str">
        <f>IF(OR($F$21='Auto Responses'!$J$4,$E192='Auto Responses'!$L$13,$F192='Auto Responses'!$J$5),'Auto Responses'!$J$5,IF($J192="",$K192,IF($J192='Auto Responses'!$J$13,5,IF($J192='Auto Responses'!$J$12,10,IF($J192='Auto Responses'!$J$11,20,0)))))</f>
        <v>N/A</v>
      </c>
      <c r="P192" s="107" t="str">
        <f>IF(OR($O192='Auto Responses'!$J$5,$L192='Auto Responses'!$J$5),'Auto Responses'!$J$5,$O192*$L192)</f>
        <v>N/A</v>
      </c>
      <c r="Q192" s="107">
        <f t="shared" si="21"/>
        <v>0</v>
      </c>
      <c r="R192" s="107">
        <f t="shared" si="19"/>
        <v>0</v>
      </c>
      <c r="S192" s="107">
        <f t="shared" si="22"/>
        <v>0</v>
      </c>
      <c r="T192" s="107">
        <f t="shared" si="23"/>
        <v>0</v>
      </c>
      <c r="U192" s="107">
        <f t="shared" si="20"/>
        <v>59</v>
      </c>
      <c r="V192" s="107">
        <f t="shared" si="24"/>
        <v>0</v>
      </c>
    </row>
    <row r="193" spans="1:22" ht="55.2" x14ac:dyDescent="0.3">
      <c r="A193" s="4" t="str">
        <f>Questions!$A193</f>
        <v>HIPA-07</v>
      </c>
      <c r="B193" s="4" t="str">
        <f t="shared" si="25"/>
        <v>HIPA</v>
      </c>
      <c r="C193" s="4" t="str">
        <f>VLOOKUP($A193,Questions!$A$3:$L$333,2,0)&amp;""</f>
        <v>Do you comply with the requirements of the Health Information Technology for Economic and Clinical Health Act (HITECH)?</v>
      </c>
      <c r="D193" s="4" t="str">
        <f>VLOOKUP($A193,Questions!$A$3:$L$333,11,0)&amp;""</f>
        <v/>
      </c>
      <c r="E193" s="4" t="str">
        <f>VLOOKUP($A193,Questions!$A$3:$L$333,12,0)&amp;""</f>
        <v>Case-specific</v>
      </c>
      <c r="F193" s="4" t="str">
        <f>VLOOKUP($A193,'Institution Evaluation'!$A$56:$K$345,3,0)&amp;""</f>
        <v/>
      </c>
      <c r="G193" s="4" t="str">
        <f>VLOOKUP($A193,'Institution Evaluation'!$A$56:$K$345,7,0)&amp;""</f>
        <v>Yes</v>
      </c>
      <c r="H193" s="4" t="str">
        <f>VLOOKUP($A193,'Institution Evaluation'!$A$56:$K$345,8,0)&amp;""</f>
        <v/>
      </c>
      <c r="I193" s="4" t="str">
        <f>VLOOKUP($A193,'Institution Evaluation'!$A$56:$K$345,9,0)&amp;""</f>
        <v>Standard Importance</v>
      </c>
      <c r="J193" s="4" t="str">
        <f>VLOOKUP($A193,'Institution Evaluation'!$A$56:$K$345,10,0)&amp;""</f>
        <v/>
      </c>
      <c r="K193" s="4">
        <f>IF($I193='Auto Responses'!$J$11,20,IF($I193='Auto Responses'!$J$13,5,10))</f>
        <v>10</v>
      </c>
      <c r="L193" s="107">
        <f>IF($E193='Auto Responses'!$L$13, 'Auto Responses'!$J$5,IF(AND($D193='Auto Responses'!$J$27,$H193=""),'Auto Responses'!$J$5,IF(AND($D193='Auto Responses'!$J$27,$H193='Auto Responses'!$J$7),1,IF(AND($D193='Auto Responses'!$J$27,$H193='Auto Responses'!$J$8),0,IF(OR(AND($F193=$G193,$H193=""),$H193='Auto Responses'!$J$7),1,0)))))</f>
        <v>0</v>
      </c>
      <c r="M193" s="4" t="str">
        <f>VLOOKUP($A193,'Institution Evaluation'!$A$56:$K$345,11,0)&amp;""</f>
        <v>FALSE</v>
      </c>
      <c r="N193" s="4">
        <f>IF($J193='Auto Responses'!$J$11,1,IF(AND($J193="",$I193='Auto Responses'!$J$11),1,0))</f>
        <v>0</v>
      </c>
      <c r="O193" s="107" t="str">
        <f>IF(OR($F$21='Auto Responses'!$J$4,$E193='Auto Responses'!$L$13,$F193='Auto Responses'!$J$5),'Auto Responses'!$J$5,IF($J193="",$K193,IF($J193='Auto Responses'!$J$13,5,IF($J193='Auto Responses'!$J$12,10,IF($J193='Auto Responses'!$J$11,20,0)))))</f>
        <v>N/A</v>
      </c>
      <c r="P193" s="107" t="str">
        <f>IF(OR($O193='Auto Responses'!$J$5,$L193='Auto Responses'!$J$5),'Auto Responses'!$J$5,$O193*$L193)</f>
        <v>N/A</v>
      </c>
      <c r="Q193" s="107">
        <f t="shared" si="21"/>
        <v>0</v>
      </c>
      <c r="R193" s="107">
        <f t="shared" si="19"/>
        <v>0</v>
      </c>
      <c r="S193" s="107">
        <f t="shared" si="22"/>
        <v>0</v>
      </c>
      <c r="T193" s="107">
        <f t="shared" si="23"/>
        <v>0</v>
      </c>
      <c r="U193" s="107">
        <f t="shared" si="20"/>
        <v>59</v>
      </c>
      <c r="V193" s="107">
        <f t="shared" si="24"/>
        <v>0</v>
      </c>
    </row>
    <row r="194" spans="1:22" ht="55.2" x14ac:dyDescent="0.3">
      <c r="A194" s="4" t="str">
        <f>Questions!$A194</f>
        <v>HIPA-08</v>
      </c>
      <c r="B194" s="4" t="str">
        <f t="shared" si="25"/>
        <v>HIPA</v>
      </c>
      <c r="C194" s="4" t="str">
        <f>VLOOKUP($A194,Questions!$A$3:$L$333,2,0)&amp;""</f>
        <v>Have you conducted a risk analysis as required under the HIPAA Security Rule?</v>
      </c>
      <c r="D194" s="4" t="str">
        <f>VLOOKUP($A194,Questions!$A$3:$L$333,11,0)&amp;""</f>
        <v/>
      </c>
      <c r="E194" s="4" t="str">
        <f>VLOOKUP($A194,Questions!$A$3:$L$333,12,0)&amp;""</f>
        <v>Case-specific</v>
      </c>
      <c r="F194" s="4" t="str">
        <f>VLOOKUP($A194,'Institution Evaluation'!$A$56:$K$345,3,0)&amp;""</f>
        <v/>
      </c>
      <c r="G194" s="4" t="str">
        <f>VLOOKUP($A194,'Institution Evaluation'!$A$56:$K$345,7,0)&amp;""</f>
        <v>Yes</v>
      </c>
      <c r="H194" s="4" t="str">
        <f>VLOOKUP($A194,'Institution Evaluation'!$A$56:$K$345,8,0)&amp;""</f>
        <v/>
      </c>
      <c r="I194" s="4" t="str">
        <f>VLOOKUP($A194,'Institution Evaluation'!$A$56:$K$345,9,0)&amp;""</f>
        <v>Standard Importance</v>
      </c>
      <c r="J194" s="4" t="str">
        <f>VLOOKUP($A194,'Institution Evaluation'!$A$56:$K$345,10,0)&amp;""</f>
        <v/>
      </c>
      <c r="K194" s="4">
        <f>IF($I194='Auto Responses'!$J$11,20,IF($I194='Auto Responses'!$J$13,5,10))</f>
        <v>10</v>
      </c>
      <c r="L194" s="107">
        <f>IF($E194='Auto Responses'!$L$13, 'Auto Responses'!$J$5,IF(AND($D194='Auto Responses'!$J$27,$H194=""),'Auto Responses'!$J$5,IF(AND($D194='Auto Responses'!$J$27,$H194='Auto Responses'!$J$7),1,IF(AND($D194='Auto Responses'!$J$27,$H194='Auto Responses'!$J$8),0,IF(OR(AND($F194=$G194,$H194=""),$H194='Auto Responses'!$J$7),1,0)))))</f>
        <v>0</v>
      </c>
      <c r="M194" s="4" t="str">
        <f>VLOOKUP($A194,'Institution Evaluation'!$A$56:$K$345,11,0)&amp;""</f>
        <v>FALSE</v>
      </c>
      <c r="N194" s="4">
        <f>IF($J194='Auto Responses'!$J$11,1,IF(AND($J194="",$I194='Auto Responses'!$J$11),1,0))</f>
        <v>0</v>
      </c>
      <c r="O194" s="107" t="str">
        <f>IF(OR($F$21='Auto Responses'!$J$4,$E194='Auto Responses'!$L$13,$F194='Auto Responses'!$J$5),'Auto Responses'!$J$5,IF($J194="",$K194,IF($J194='Auto Responses'!$J$13,5,IF($J194='Auto Responses'!$J$12,10,IF($J194='Auto Responses'!$J$11,20,0)))))</f>
        <v>N/A</v>
      </c>
      <c r="P194" s="107" t="str">
        <f>IF(OR($O194='Auto Responses'!$J$5,$L194='Auto Responses'!$J$5),'Auto Responses'!$J$5,$O194*$L194)</f>
        <v>N/A</v>
      </c>
      <c r="Q194" s="107">
        <f t="shared" si="21"/>
        <v>0</v>
      </c>
      <c r="R194" s="107">
        <f t="shared" si="19"/>
        <v>0</v>
      </c>
      <c r="S194" s="107">
        <f t="shared" si="22"/>
        <v>0</v>
      </c>
      <c r="T194" s="107">
        <f t="shared" si="23"/>
        <v>0</v>
      </c>
      <c r="U194" s="107">
        <f t="shared" si="20"/>
        <v>59</v>
      </c>
      <c r="V194" s="107">
        <f t="shared" si="24"/>
        <v>0</v>
      </c>
    </row>
    <row r="195" spans="1:22" ht="55.2" x14ac:dyDescent="0.3">
      <c r="A195" s="4" t="str">
        <f>Questions!$A195</f>
        <v>HIPA-09</v>
      </c>
      <c r="B195" s="4" t="str">
        <f t="shared" si="25"/>
        <v>HIPA</v>
      </c>
      <c r="C195" s="4" t="str">
        <f>VLOOKUP($A195,Questions!$A$3:$L$333,2,0)&amp;""</f>
        <v>Have you taken actions to mitigate the identified risks?</v>
      </c>
      <c r="D195" s="4" t="str">
        <f>VLOOKUP($A195,Questions!$A$3:$L$333,11,0)&amp;""</f>
        <v/>
      </c>
      <c r="E195" s="4" t="str">
        <f>VLOOKUP($A195,Questions!$A$3:$L$333,12,0)&amp;""</f>
        <v>Case-specific</v>
      </c>
      <c r="F195" s="4" t="str">
        <f>VLOOKUP($A195,'Institution Evaluation'!$A$56:$K$345,3,0)&amp;""</f>
        <v/>
      </c>
      <c r="G195" s="4" t="str">
        <f>VLOOKUP($A195,'Institution Evaluation'!$A$56:$K$345,7,0)&amp;""</f>
        <v>Yes</v>
      </c>
      <c r="H195" s="4" t="str">
        <f>VLOOKUP($A195,'Institution Evaluation'!$A$56:$K$345,8,0)&amp;""</f>
        <v/>
      </c>
      <c r="I195" s="4" t="str">
        <f>VLOOKUP($A195,'Institution Evaluation'!$A$56:$K$345,9,0)&amp;""</f>
        <v>Standard Importance</v>
      </c>
      <c r="J195" s="4" t="str">
        <f>VLOOKUP($A195,'Institution Evaluation'!$A$56:$K$345,10,0)&amp;""</f>
        <v/>
      </c>
      <c r="K195" s="4">
        <f>IF($I195='Auto Responses'!$J$11,20,IF($I195='Auto Responses'!$J$13,5,10))</f>
        <v>10</v>
      </c>
      <c r="L195" s="107">
        <f>IF($E195='Auto Responses'!$L$13, 'Auto Responses'!$J$5,IF(AND($D195='Auto Responses'!$J$27,$H195=""),'Auto Responses'!$J$5,IF(AND($D195='Auto Responses'!$J$27,$H195='Auto Responses'!$J$7),1,IF(AND($D195='Auto Responses'!$J$27,$H195='Auto Responses'!$J$8),0,IF(OR(AND($F195=$G195,$H195=""),$H195='Auto Responses'!$J$7),1,0)))))</f>
        <v>0</v>
      </c>
      <c r="M195" s="4" t="str">
        <f>VLOOKUP($A195,'Institution Evaluation'!$A$56:$K$345,11,0)&amp;""</f>
        <v>FALSE</v>
      </c>
      <c r="N195" s="4">
        <f>IF($J195='Auto Responses'!$J$11,1,IF(AND($J195="",$I195='Auto Responses'!$J$11),1,0))</f>
        <v>0</v>
      </c>
      <c r="O195" s="107" t="str">
        <f>IF(OR($F$21='Auto Responses'!$J$4,$E195='Auto Responses'!$L$13,$F195='Auto Responses'!$J$5),'Auto Responses'!$J$5,IF($J195="",$K195,IF($J195='Auto Responses'!$J$13,5,IF($J195='Auto Responses'!$J$12,10,IF($J195='Auto Responses'!$J$11,20,0)))))</f>
        <v>N/A</v>
      </c>
      <c r="P195" s="107" t="str">
        <f>IF(OR($O195='Auto Responses'!$J$5,$L195='Auto Responses'!$J$5),'Auto Responses'!$J$5,$O195*$L195)</f>
        <v>N/A</v>
      </c>
      <c r="Q195" s="107">
        <f t="shared" si="21"/>
        <v>0</v>
      </c>
      <c r="R195" s="107">
        <f t="shared" si="19"/>
        <v>0</v>
      </c>
      <c r="S195" s="107">
        <f t="shared" si="22"/>
        <v>0</v>
      </c>
      <c r="T195" s="107">
        <f t="shared" si="23"/>
        <v>0</v>
      </c>
      <c r="U195" s="107">
        <f t="shared" si="20"/>
        <v>59</v>
      </c>
      <c r="V195" s="107">
        <f t="shared" si="24"/>
        <v>0</v>
      </c>
    </row>
    <row r="196" spans="1:22" ht="55.2" x14ac:dyDescent="0.3">
      <c r="A196" s="4" t="str">
        <f>Questions!$A196</f>
        <v>HIPA-10</v>
      </c>
      <c r="B196" s="4" t="str">
        <f t="shared" si="25"/>
        <v>HIPA</v>
      </c>
      <c r="C196" s="4" t="str">
        <f>VLOOKUP($A196,Questions!$A$3:$L$333,2,0)&amp;""</f>
        <v>Does your application require user and system administrator password changes at a frequency no greater than 90 days?</v>
      </c>
      <c r="D196" s="4" t="str">
        <f>VLOOKUP($A196,Questions!$A$3:$L$333,11,0)&amp;""</f>
        <v/>
      </c>
      <c r="E196" s="4" t="str">
        <f>VLOOKUP($A196,Questions!$A$3:$L$333,12,0)&amp;""</f>
        <v>Case-specific</v>
      </c>
      <c r="F196" s="4" t="str">
        <f>VLOOKUP($A196,'Institution Evaluation'!$A$56:$K$345,3,0)&amp;""</f>
        <v/>
      </c>
      <c r="G196" s="4" t="str">
        <f>VLOOKUP($A196,'Institution Evaluation'!$A$56:$K$345,7,0)&amp;""</f>
        <v>Yes</v>
      </c>
      <c r="H196" s="4" t="str">
        <f>VLOOKUP($A196,'Institution Evaluation'!$A$56:$K$345,8,0)&amp;""</f>
        <v/>
      </c>
      <c r="I196" s="4" t="str">
        <f>VLOOKUP($A196,'Institution Evaluation'!$A$56:$K$345,9,0)&amp;""</f>
        <v>Standard Importance</v>
      </c>
      <c r="J196" s="4" t="str">
        <f>VLOOKUP($A196,'Institution Evaluation'!$A$56:$K$345,10,0)&amp;""</f>
        <v/>
      </c>
      <c r="K196" s="4">
        <f>IF($I196='Auto Responses'!$J$11,20,IF($I196='Auto Responses'!$J$13,5,10))</f>
        <v>10</v>
      </c>
      <c r="L196" s="107">
        <f>IF($E196='Auto Responses'!$L$13, 'Auto Responses'!$J$5,IF(AND($D196='Auto Responses'!$J$27,$H196=""),'Auto Responses'!$J$5,IF(AND($D196='Auto Responses'!$J$27,$H196='Auto Responses'!$J$7),1,IF(AND($D196='Auto Responses'!$J$27,$H196='Auto Responses'!$J$8),0,IF(OR(AND($F196=$G196,$H196=""),$H196='Auto Responses'!$J$7),1,0)))))</f>
        <v>0</v>
      </c>
      <c r="M196" s="4" t="str">
        <f>VLOOKUP($A196,'Institution Evaluation'!$A$56:$K$345,11,0)&amp;""</f>
        <v>FALSE</v>
      </c>
      <c r="N196" s="4">
        <f>IF($J196='Auto Responses'!$J$11,1,IF(AND($J196="",$I196='Auto Responses'!$J$11),1,0))</f>
        <v>0</v>
      </c>
      <c r="O196" s="107" t="str">
        <f>IF(OR($F$21='Auto Responses'!$J$4,$E196='Auto Responses'!$L$13,$F196='Auto Responses'!$J$5),'Auto Responses'!$J$5,IF($J196="",$K196,IF($J196='Auto Responses'!$J$13,5,IF($J196='Auto Responses'!$J$12,10,IF($J196='Auto Responses'!$J$11,20,0)))))</f>
        <v>N/A</v>
      </c>
      <c r="P196" s="107" t="str">
        <f>IF(OR($O196='Auto Responses'!$J$5,$L196='Auto Responses'!$J$5),'Auto Responses'!$J$5,$O196*$L196)</f>
        <v>N/A</v>
      </c>
      <c r="Q196" s="107">
        <f t="shared" si="21"/>
        <v>0</v>
      </c>
      <c r="R196" s="107">
        <f t="shared" si="19"/>
        <v>0</v>
      </c>
      <c r="S196" s="107">
        <f t="shared" si="22"/>
        <v>0</v>
      </c>
      <c r="T196" s="107">
        <f t="shared" si="23"/>
        <v>0</v>
      </c>
      <c r="U196" s="107">
        <f t="shared" si="20"/>
        <v>59</v>
      </c>
      <c r="V196" s="107">
        <f t="shared" si="24"/>
        <v>0</v>
      </c>
    </row>
    <row r="197" spans="1:22" ht="55.2" x14ac:dyDescent="0.3">
      <c r="A197" s="4" t="str">
        <f>Questions!$A197</f>
        <v>HIPA-11</v>
      </c>
      <c r="B197" s="4" t="str">
        <f t="shared" si="25"/>
        <v>HIPA</v>
      </c>
      <c r="C197" s="4" t="str">
        <f>VLOOKUP($A197,Questions!$A$3:$L$333,2,0)&amp;""</f>
        <v>Does your application require users to set their own password after an administrator reset or on first use of the account?</v>
      </c>
      <c r="D197" s="4" t="str">
        <f>VLOOKUP($A197,Questions!$A$3:$L$333,11,0)&amp;""</f>
        <v/>
      </c>
      <c r="E197" s="4" t="str">
        <f>VLOOKUP($A197,Questions!$A$3:$L$333,12,0)&amp;""</f>
        <v>Case-specific</v>
      </c>
      <c r="F197" s="4" t="str">
        <f>VLOOKUP($A197,'Institution Evaluation'!$A$56:$K$345,3,0)&amp;""</f>
        <v/>
      </c>
      <c r="G197" s="4" t="str">
        <f>VLOOKUP($A197,'Institution Evaluation'!$A$56:$K$345,7,0)&amp;""</f>
        <v>Yes</v>
      </c>
      <c r="H197" s="4" t="str">
        <f>VLOOKUP($A197,'Institution Evaluation'!$A$56:$K$345,8,0)&amp;""</f>
        <v/>
      </c>
      <c r="I197" s="4" t="str">
        <f>VLOOKUP($A197,'Institution Evaluation'!$A$56:$K$345,9,0)&amp;""</f>
        <v>Standard Importance</v>
      </c>
      <c r="J197" s="4" t="str">
        <f>VLOOKUP($A197,'Institution Evaluation'!$A$56:$K$345,10,0)&amp;""</f>
        <v/>
      </c>
      <c r="K197" s="4">
        <f>IF($I197='Auto Responses'!$J$11,20,IF($I197='Auto Responses'!$J$13,5,10))</f>
        <v>10</v>
      </c>
      <c r="L197" s="107">
        <f>IF($E197='Auto Responses'!$L$13, 'Auto Responses'!$J$5,IF(AND($D197='Auto Responses'!$J$27,$H197=""),'Auto Responses'!$J$5,IF(AND($D197='Auto Responses'!$J$27,$H197='Auto Responses'!$J$7),1,IF(AND($D197='Auto Responses'!$J$27,$H197='Auto Responses'!$J$8),0,IF(OR(AND($F197=$G197,$H197=""),$H197='Auto Responses'!$J$7),1,0)))))</f>
        <v>0</v>
      </c>
      <c r="M197" s="4" t="str">
        <f>VLOOKUP($A197,'Institution Evaluation'!$A$56:$K$345,11,0)&amp;""</f>
        <v>FALSE</v>
      </c>
      <c r="N197" s="4">
        <f>IF($J197='Auto Responses'!$J$11,1,IF(AND($J197="",$I197='Auto Responses'!$J$11),1,0))</f>
        <v>0</v>
      </c>
      <c r="O197" s="107" t="str">
        <f>IF(OR($F$21='Auto Responses'!$J$4,$E197='Auto Responses'!$L$13,$F197='Auto Responses'!$J$5),'Auto Responses'!$J$5,IF($J197="",$K197,IF($J197='Auto Responses'!$J$13,5,IF($J197='Auto Responses'!$J$12,10,IF($J197='Auto Responses'!$J$11,20,0)))))</f>
        <v>N/A</v>
      </c>
      <c r="P197" s="107" t="str">
        <f>IF(OR($O197='Auto Responses'!$J$5,$L197='Auto Responses'!$J$5),'Auto Responses'!$J$5,$O197*$L197)</f>
        <v>N/A</v>
      </c>
      <c r="Q197" s="107">
        <f t="shared" si="21"/>
        <v>0</v>
      </c>
      <c r="R197" s="107">
        <f t="shared" ref="R197:R260" si="26">R196+Q197</f>
        <v>0</v>
      </c>
      <c r="S197" s="107">
        <f t="shared" si="22"/>
        <v>0</v>
      </c>
      <c r="T197" s="107">
        <f t="shared" si="23"/>
        <v>0</v>
      </c>
      <c r="U197" s="107">
        <f t="shared" ref="U197:U260" si="27">U196+T197</f>
        <v>59</v>
      </c>
      <c r="V197" s="107">
        <f t="shared" si="24"/>
        <v>0</v>
      </c>
    </row>
    <row r="198" spans="1:22" ht="55.2" x14ac:dyDescent="0.3">
      <c r="A198" s="4" t="str">
        <f>Questions!$A198</f>
        <v>HIPA-12</v>
      </c>
      <c r="B198" s="4" t="str">
        <f t="shared" si="25"/>
        <v>HIPA</v>
      </c>
      <c r="C198" s="4" t="str">
        <f>VLOOKUP($A198,Questions!$A$3:$L$333,2,0)&amp;""</f>
        <v>Does your application lock out an account after a number of failed login attempts?</v>
      </c>
      <c r="D198" s="4" t="str">
        <f>VLOOKUP($A198,Questions!$A$3:$L$333,11,0)&amp;""</f>
        <v/>
      </c>
      <c r="E198" s="4" t="str">
        <f>VLOOKUP($A198,Questions!$A$3:$L$333,12,0)&amp;""</f>
        <v>Case-specific</v>
      </c>
      <c r="F198" s="4" t="str">
        <f>VLOOKUP($A198,'Institution Evaluation'!$A$56:$K$345,3,0)&amp;""</f>
        <v/>
      </c>
      <c r="G198" s="4" t="str">
        <f>VLOOKUP($A198,'Institution Evaluation'!$A$56:$K$345,7,0)&amp;""</f>
        <v>Yes</v>
      </c>
      <c r="H198" s="4" t="str">
        <f>VLOOKUP($A198,'Institution Evaluation'!$A$56:$K$345,8,0)&amp;""</f>
        <v/>
      </c>
      <c r="I198" s="4" t="str">
        <f>VLOOKUP($A198,'Institution Evaluation'!$A$56:$K$345,9,0)&amp;""</f>
        <v>Standard Importance</v>
      </c>
      <c r="J198" s="4" t="str">
        <f>VLOOKUP($A198,'Institution Evaluation'!$A$56:$K$345,10,0)&amp;""</f>
        <v/>
      </c>
      <c r="K198" s="4">
        <f>IF($I198='Auto Responses'!$J$11,20,IF($I198='Auto Responses'!$J$13,5,10))</f>
        <v>10</v>
      </c>
      <c r="L198" s="107">
        <f>IF($E198='Auto Responses'!$L$13, 'Auto Responses'!$J$5,IF(AND($D198='Auto Responses'!$J$27,$H198=""),'Auto Responses'!$J$5,IF(AND($D198='Auto Responses'!$J$27,$H198='Auto Responses'!$J$7),1,IF(AND($D198='Auto Responses'!$J$27,$H198='Auto Responses'!$J$8),0,IF(OR(AND($F198=$G198,$H198=""),$H198='Auto Responses'!$J$7),1,0)))))</f>
        <v>0</v>
      </c>
      <c r="M198" s="4" t="str">
        <f>VLOOKUP($A198,'Institution Evaluation'!$A$56:$K$345,11,0)&amp;""</f>
        <v>FALSE</v>
      </c>
      <c r="N198" s="4">
        <f>IF($J198='Auto Responses'!$J$11,1,IF(AND($J198="",$I198='Auto Responses'!$J$11),1,0))</f>
        <v>0</v>
      </c>
      <c r="O198" s="107" t="str">
        <f>IF(OR($F$21='Auto Responses'!$J$4,$E198='Auto Responses'!$L$13,$F198='Auto Responses'!$J$5),'Auto Responses'!$J$5,IF($J198="",$K198,IF($J198='Auto Responses'!$J$13,5,IF($J198='Auto Responses'!$J$12,10,IF($J198='Auto Responses'!$J$11,20,0)))))</f>
        <v>N/A</v>
      </c>
      <c r="P198" s="107" t="str">
        <f>IF(OR($O198='Auto Responses'!$J$5,$L198='Auto Responses'!$J$5),'Auto Responses'!$J$5,$O198*$L198)</f>
        <v>N/A</v>
      </c>
      <c r="Q198" s="107">
        <f t="shared" si="21"/>
        <v>0</v>
      </c>
      <c r="R198" s="107">
        <f t="shared" si="26"/>
        <v>0</v>
      </c>
      <c r="S198" s="107">
        <f t="shared" si="22"/>
        <v>0</v>
      </c>
      <c r="T198" s="107">
        <f t="shared" si="23"/>
        <v>0</v>
      </c>
      <c r="U198" s="107">
        <f t="shared" si="27"/>
        <v>59</v>
      </c>
      <c r="V198" s="107">
        <f t="shared" si="24"/>
        <v>0</v>
      </c>
    </row>
    <row r="199" spans="1:22" ht="55.2" x14ac:dyDescent="0.3">
      <c r="A199" s="4" t="str">
        <f>Questions!$A199</f>
        <v>HIPA-13</v>
      </c>
      <c r="B199" s="4" t="str">
        <f t="shared" si="25"/>
        <v>HIPA</v>
      </c>
      <c r="C199" s="4" t="str">
        <f>VLOOKUP($A199,Questions!$A$3:$L$333,2,0)&amp;""</f>
        <v>Does your application automatically lock or log-out an account after a period of inactivity?</v>
      </c>
      <c r="D199" s="4" t="str">
        <f>VLOOKUP($A199,Questions!$A$3:$L$333,11,0)&amp;""</f>
        <v/>
      </c>
      <c r="E199" s="4" t="str">
        <f>VLOOKUP($A199,Questions!$A$3:$L$333,12,0)&amp;""</f>
        <v>Case-specific</v>
      </c>
      <c r="F199" s="4" t="str">
        <f>VLOOKUP($A199,'Institution Evaluation'!$A$56:$K$345,3,0)&amp;""</f>
        <v/>
      </c>
      <c r="G199" s="4" t="str">
        <f>VLOOKUP($A199,'Institution Evaluation'!$A$56:$K$345,7,0)&amp;""</f>
        <v>Yes</v>
      </c>
      <c r="H199" s="4" t="str">
        <f>VLOOKUP($A199,'Institution Evaluation'!$A$56:$K$345,8,0)&amp;""</f>
        <v/>
      </c>
      <c r="I199" s="4" t="str">
        <f>VLOOKUP($A199,'Institution Evaluation'!$A$56:$K$345,9,0)&amp;""</f>
        <v>Standard Importance</v>
      </c>
      <c r="J199" s="4" t="str">
        <f>VLOOKUP($A199,'Institution Evaluation'!$A$56:$K$345,10,0)&amp;""</f>
        <v/>
      </c>
      <c r="K199" s="4">
        <f>IF($I199='Auto Responses'!$J$11,20,IF($I199='Auto Responses'!$J$13,5,10))</f>
        <v>10</v>
      </c>
      <c r="L199" s="107">
        <f>IF($E199='Auto Responses'!$L$13, 'Auto Responses'!$J$5,IF(AND($D199='Auto Responses'!$J$27,$H199=""),'Auto Responses'!$J$5,IF(AND($D199='Auto Responses'!$J$27,$H199='Auto Responses'!$J$7),1,IF(AND($D199='Auto Responses'!$J$27,$H199='Auto Responses'!$J$8),0,IF(OR(AND($F199=$G199,$H199=""),$H199='Auto Responses'!$J$7),1,0)))))</f>
        <v>0</v>
      </c>
      <c r="M199" s="4" t="str">
        <f>VLOOKUP($A199,'Institution Evaluation'!$A$56:$K$345,11,0)&amp;""</f>
        <v>FALSE</v>
      </c>
      <c r="N199" s="4">
        <f>IF($J199='Auto Responses'!$J$11,1,IF(AND($J199="",$I199='Auto Responses'!$J$11),1,0))</f>
        <v>0</v>
      </c>
      <c r="O199" s="107" t="str">
        <f>IF(OR($F$21='Auto Responses'!$J$4,$E199='Auto Responses'!$L$13,$F199='Auto Responses'!$J$5),'Auto Responses'!$J$5,IF($J199="",$K199,IF($J199='Auto Responses'!$J$13,5,IF($J199='Auto Responses'!$J$12,10,IF($J199='Auto Responses'!$J$11,20,0)))))</f>
        <v>N/A</v>
      </c>
      <c r="P199" s="107" t="str">
        <f>IF(OR($O199='Auto Responses'!$J$5,$L199='Auto Responses'!$J$5),'Auto Responses'!$J$5,$O199*$L199)</f>
        <v>N/A</v>
      </c>
      <c r="Q199" s="107">
        <f t="shared" si="21"/>
        <v>0</v>
      </c>
      <c r="R199" s="107">
        <f t="shared" si="26"/>
        <v>0</v>
      </c>
      <c r="S199" s="107">
        <f t="shared" si="22"/>
        <v>0</v>
      </c>
      <c r="T199" s="107">
        <f t="shared" si="23"/>
        <v>0</v>
      </c>
      <c r="U199" s="107">
        <f t="shared" si="27"/>
        <v>59</v>
      </c>
      <c r="V199" s="107">
        <f t="shared" si="24"/>
        <v>0</v>
      </c>
    </row>
    <row r="200" spans="1:22" ht="55.2" x14ac:dyDescent="0.3">
      <c r="A200" s="4" t="str">
        <f>Questions!$A200</f>
        <v>HIPA-14</v>
      </c>
      <c r="B200" s="4" t="str">
        <f t="shared" si="25"/>
        <v>HIPA</v>
      </c>
      <c r="C200" s="4" t="str">
        <f>VLOOKUP($A200,Questions!$A$3:$L$333,2,0)&amp;""</f>
        <v>Are passwords visible in plain text, whether when stored or entered, including service level accounts (i.e., database accounts, etc.)?</v>
      </c>
      <c r="D200" s="4" t="str">
        <f>VLOOKUP($A200,Questions!$A$3:$L$333,11,0)&amp;""</f>
        <v/>
      </c>
      <c r="E200" s="4" t="str">
        <f>VLOOKUP($A200,Questions!$A$3:$L$333,12,0)&amp;""</f>
        <v>Case-specific</v>
      </c>
      <c r="F200" s="4" t="str">
        <f>VLOOKUP($A200,'Institution Evaluation'!$A$56:$K$345,3,0)&amp;""</f>
        <v/>
      </c>
      <c r="G200" s="4" t="str">
        <f>VLOOKUP($A200,'Institution Evaluation'!$A$56:$K$345,7,0)&amp;""</f>
        <v>No</v>
      </c>
      <c r="H200" s="4" t="str">
        <f>VLOOKUP($A200,'Institution Evaluation'!$A$56:$K$345,8,0)&amp;""</f>
        <v/>
      </c>
      <c r="I200" s="4" t="str">
        <f>VLOOKUP($A200,'Institution Evaluation'!$A$56:$K$345,9,0)&amp;""</f>
        <v>Standard Importance</v>
      </c>
      <c r="J200" s="4" t="str">
        <f>VLOOKUP($A200,'Institution Evaluation'!$A$56:$K$345,10,0)&amp;""</f>
        <v/>
      </c>
      <c r="K200" s="4">
        <f>IF($I200='Auto Responses'!$J$11,20,IF($I200='Auto Responses'!$J$13,5,10))</f>
        <v>10</v>
      </c>
      <c r="L200" s="107">
        <f>IF($E200='Auto Responses'!$L$13, 'Auto Responses'!$J$5,IF(AND($D200='Auto Responses'!$J$27,$H200=""),'Auto Responses'!$J$5,IF(AND($D200='Auto Responses'!$J$27,$H200='Auto Responses'!$J$7),1,IF(AND($D200='Auto Responses'!$J$27,$H200='Auto Responses'!$J$8),0,IF(OR(AND($F200=$G200,$H200=""),$H200='Auto Responses'!$J$7),1,0)))))</f>
        <v>0</v>
      </c>
      <c r="M200" s="4" t="str">
        <f>VLOOKUP($A200,'Institution Evaluation'!$A$56:$K$345,11,0)&amp;""</f>
        <v>FALSE</v>
      </c>
      <c r="N200" s="4">
        <f>IF($J200='Auto Responses'!$J$11,1,IF(AND($J200="",$I200='Auto Responses'!$J$11),1,0))</f>
        <v>0</v>
      </c>
      <c r="O200" s="107" t="str">
        <f>IF(OR($F$21='Auto Responses'!$J$4,$E200='Auto Responses'!$L$13,$F200='Auto Responses'!$J$5),'Auto Responses'!$J$5,IF($J200="",$K200,IF($J200='Auto Responses'!$J$13,5,IF($J200='Auto Responses'!$J$12,10,IF($J200='Auto Responses'!$J$11,20,0)))))</f>
        <v>N/A</v>
      </c>
      <c r="P200" s="107" t="str">
        <f>IF(OR($O200='Auto Responses'!$J$5,$L200='Auto Responses'!$J$5),'Auto Responses'!$J$5,$O200*$L200)</f>
        <v>N/A</v>
      </c>
      <c r="Q200" s="107">
        <f t="shared" si="21"/>
        <v>0</v>
      </c>
      <c r="R200" s="107">
        <f t="shared" si="26"/>
        <v>0</v>
      </c>
      <c r="S200" s="107">
        <f t="shared" si="22"/>
        <v>0</v>
      </c>
      <c r="T200" s="107">
        <f t="shared" si="23"/>
        <v>0</v>
      </c>
      <c r="U200" s="107">
        <f t="shared" si="27"/>
        <v>59</v>
      </c>
      <c r="V200" s="107">
        <f t="shared" si="24"/>
        <v>0</v>
      </c>
    </row>
    <row r="201" spans="1:22" ht="55.2" x14ac:dyDescent="0.3">
      <c r="A201" s="4" t="str">
        <f>Questions!$A201</f>
        <v>HIPA-15</v>
      </c>
      <c r="B201" s="4" t="str">
        <f t="shared" si="25"/>
        <v>HIPA</v>
      </c>
      <c r="C201" s="4" t="str">
        <f>VLOOKUP($A201,Questions!$A$3:$L$333,2,0)&amp;""</f>
        <v>If the application is institution-hosted, can all service level and administrative account passwords be changed by the institution?</v>
      </c>
      <c r="D201" s="4" t="str">
        <f>VLOOKUP($A201,Questions!$A$3:$L$333,11,0)&amp;""</f>
        <v/>
      </c>
      <c r="E201" s="4" t="str">
        <f>VLOOKUP($A201,Questions!$A$3:$L$333,12,0)&amp;""</f>
        <v>Case-specific</v>
      </c>
      <c r="F201" s="4" t="str">
        <f>VLOOKUP($A201,'Institution Evaluation'!$A$56:$K$345,3,0)&amp;""</f>
        <v/>
      </c>
      <c r="G201" s="4" t="str">
        <f>VLOOKUP($A201,'Institution Evaluation'!$A$56:$K$345,7,0)&amp;""</f>
        <v>Yes</v>
      </c>
      <c r="H201" s="4" t="str">
        <f>VLOOKUP($A201,'Institution Evaluation'!$A$56:$K$345,8,0)&amp;""</f>
        <v/>
      </c>
      <c r="I201" s="4" t="str">
        <f>VLOOKUP($A201,'Institution Evaluation'!$A$56:$K$345,9,0)&amp;""</f>
        <v>Standard Importance</v>
      </c>
      <c r="J201" s="4" t="str">
        <f>VLOOKUP($A201,'Institution Evaluation'!$A$56:$K$345,10,0)&amp;""</f>
        <v/>
      </c>
      <c r="K201" s="4">
        <f>IF($I201='Auto Responses'!$J$11,20,IF($I201='Auto Responses'!$J$13,5,10))</f>
        <v>10</v>
      </c>
      <c r="L201" s="107">
        <f>IF($E201='Auto Responses'!$L$13, 'Auto Responses'!$J$5,IF(AND($D201='Auto Responses'!$J$27,$H201=""),'Auto Responses'!$J$5,IF(AND($D201='Auto Responses'!$J$27,$H201='Auto Responses'!$J$7),1,IF(AND($D201='Auto Responses'!$J$27,$H201='Auto Responses'!$J$8),0,IF(OR(AND($F201=$G201,$H201=""),$H201='Auto Responses'!$J$7),1,0)))))</f>
        <v>0</v>
      </c>
      <c r="M201" s="4" t="str">
        <f>VLOOKUP($A201,'Institution Evaluation'!$A$56:$K$345,11,0)&amp;""</f>
        <v>FALSE</v>
      </c>
      <c r="N201" s="4">
        <f>IF($J201='Auto Responses'!$J$11,1,IF(AND($J201="",$I201='Auto Responses'!$J$11),1,0))</f>
        <v>0</v>
      </c>
      <c r="O201" s="107" t="str">
        <f>IF(OR($F$21='Auto Responses'!$J$4,$E201='Auto Responses'!$L$13,$F201='Auto Responses'!$J$5),'Auto Responses'!$J$5,IF($J201="",$K201,IF($J201='Auto Responses'!$J$13,5,IF($J201='Auto Responses'!$J$12,10,IF($J201='Auto Responses'!$J$11,20,0)))))</f>
        <v>N/A</v>
      </c>
      <c r="P201" s="107" t="str">
        <f>IF(OR($O201='Auto Responses'!$J$5,$L201='Auto Responses'!$J$5),'Auto Responses'!$J$5,$O201*$L201)</f>
        <v>N/A</v>
      </c>
      <c r="Q201" s="107">
        <f t="shared" si="21"/>
        <v>0</v>
      </c>
      <c r="R201" s="107">
        <f t="shared" si="26"/>
        <v>0</v>
      </c>
      <c r="S201" s="107">
        <f t="shared" si="22"/>
        <v>0</v>
      </c>
      <c r="T201" s="107">
        <f t="shared" si="23"/>
        <v>0</v>
      </c>
      <c r="U201" s="107">
        <f t="shared" si="27"/>
        <v>59</v>
      </c>
      <c r="V201" s="107">
        <f t="shared" si="24"/>
        <v>0</v>
      </c>
    </row>
    <row r="202" spans="1:22" ht="55.2" x14ac:dyDescent="0.3">
      <c r="A202" s="4" t="str">
        <f>Questions!$A202</f>
        <v>HIPA-16</v>
      </c>
      <c r="B202" s="4" t="str">
        <f t="shared" si="25"/>
        <v>HIPA</v>
      </c>
      <c r="C202" s="4" t="str">
        <f>VLOOKUP($A202,Questions!$A$3:$L$333,2,0)&amp;""</f>
        <v>Does your application provide the ability to define user access levels?</v>
      </c>
      <c r="D202" s="4" t="str">
        <f>VLOOKUP($A202,Questions!$A$3:$L$333,11,0)&amp;""</f>
        <v/>
      </c>
      <c r="E202" s="4" t="str">
        <f>VLOOKUP($A202,Questions!$A$3:$L$333,12,0)&amp;""</f>
        <v>Case-specific</v>
      </c>
      <c r="F202" s="4" t="str">
        <f>VLOOKUP($A202,'Institution Evaluation'!$A$56:$K$345,3,0)&amp;""</f>
        <v/>
      </c>
      <c r="G202" s="4" t="str">
        <f>VLOOKUP($A202,'Institution Evaluation'!$A$56:$K$345,7,0)&amp;""</f>
        <v>Yes</v>
      </c>
      <c r="H202" s="4" t="str">
        <f>VLOOKUP($A202,'Institution Evaluation'!$A$56:$K$345,8,0)&amp;""</f>
        <v/>
      </c>
      <c r="I202" s="4" t="str">
        <f>VLOOKUP($A202,'Institution Evaluation'!$A$56:$K$345,9,0)&amp;""</f>
        <v>Standard Importance</v>
      </c>
      <c r="J202" s="4" t="str">
        <f>VLOOKUP($A202,'Institution Evaluation'!$A$56:$K$345,10,0)&amp;""</f>
        <v/>
      </c>
      <c r="K202" s="4">
        <f>IF($I202='Auto Responses'!$J$11,20,IF($I202='Auto Responses'!$J$13,5,10))</f>
        <v>10</v>
      </c>
      <c r="L202" s="107">
        <f>IF($E202='Auto Responses'!$L$13, 'Auto Responses'!$J$5,IF(AND($D202='Auto Responses'!$J$27,$H202=""),'Auto Responses'!$J$5,IF(AND($D202='Auto Responses'!$J$27,$H202='Auto Responses'!$J$7),1,IF(AND($D202='Auto Responses'!$J$27,$H202='Auto Responses'!$J$8),0,IF(OR(AND($F202=$G202,$H202=""),$H202='Auto Responses'!$J$7),1,0)))))</f>
        <v>0</v>
      </c>
      <c r="M202" s="4" t="str">
        <f>VLOOKUP($A202,'Institution Evaluation'!$A$56:$K$345,11,0)&amp;""</f>
        <v>FALSE</v>
      </c>
      <c r="N202" s="4">
        <f>IF($J202='Auto Responses'!$J$11,1,IF(AND($J202="",$I202='Auto Responses'!$J$11),1,0))</f>
        <v>0</v>
      </c>
      <c r="O202" s="107" t="str">
        <f>IF(OR($F$21='Auto Responses'!$J$4,$E202='Auto Responses'!$L$13,$F202='Auto Responses'!$J$5),'Auto Responses'!$J$5,IF($J202="",$K202,IF($J202='Auto Responses'!$J$13,5,IF($J202='Auto Responses'!$J$12,10,IF($J202='Auto Responses'!$J$11,20,0)))))</f>
        <v>N/A</v>
      </c>
      <c r="P202" s="107" t="str">
        <f>IF(OR($O202='Auto Responses'!$J$5,$L202='Auto Responses'!$J$5),'Auto Responses'!$J$5,$O202*$L202)</f>
        <v>N/A</v>
      </c>
      <c r="Q202" s="107">
        <f t="shared" si="21"/>
        <v>0</v>
      </c>
      <c r="R202" s="107">
        <f t="shared" si="26"/>
        <v>0</v>
      </c>
      <c r="S202" s="107">
        <f t="shared" si="22"/>
        <v>0</v>
      </c>
      <c r="T202" s="107">
        <f t="shared" si="23"/>
        <v>0</v>
      </c>
      <c r="U202" s="107">
        <f t="shared" si="27"/>
        <v>59</v>
      </c>
      <c r="V202" s="107">
        <f t="shared" si="24"/>
        <v>0</v>
      </c>
    </row>
    <row r="203" spans="1:22" ht="55.2" x14ac:dyDescent="0.3">
      <c r="A203" s="4" t="str">
        <f>Questions!$A203</f>
        <v>HIPA-17</v>
      </c>
      <c r="B203" s="4" t="str">
        <f t="shared" si="25"/>
        <v>HIPA</v>
      </c>
      <c r="C203" s="4" t="str">
        <f>VLOOKUP($A203,Questions!$A$3:$L$333,2,0)&amp;""</f>
        <v>Does your application support varying levels of access to administrative tasks defined individually per user?</v>
      </c>
      <c r="D203" s="4" t="str">
        <f>VLOOKUP($A203,Questions!$A$3:$L$333,11,0)&amp;""</f>
        <v/>
      </c>
      <c r="E203" s="4" t="str">
        <f>VLOOKUP($A203,Questions!$A$3:$L$333,12,0)&amp;""</f>
        <v>Case-specific</v>
      </c>
      <c r="F203" s="4" t="str">
        <f>VLOOKUP($A203,'Institution Evaluation'!$A$56:$K$345,3,0)&amp;""</f>
        <v/>
      </c>
      <c r="G203" s="4" t="str">
        <f>VLOOKUP($A203,'Institution Evaluation'!$A$56:$K$345,7,0)&amp;""</f>
        <v>Yes</v>
      </c>
      <c r="H203" s="4" t="str">
        <f>VLOOKUP($A203,'Institution Evaluation'!$A$56:$K$345,8,0)&amp;""</f>
        <v/>
      </c>
      <c r="I203" s="4" t="str">
        <f>VLOOKUP($A203,'Institution Evaluation'!$A$56:$K$345,9,0)&amp;""</f>
        <v>Standard Importance</v>
      </c>
      <c r="J203" s="4" t="str">
        <f>VLOOKUP($A203,'Institution Evaluation'!$A$56:$K$345,10,0)&amp;""</f>
        <v/>
      </c>
      <c r="K203" s="4">
        <f>IF($I203='Auto Responses'!$J$11,20,IF($I203='Auto Responses'!$J$13,5,10))</f>
        <v>10</v>
      </c>
      <c r="L203" s="107">
        <f>IF($E203='Auto Responses'!$L$13, 'Auto Responses'!$J$5,IF(AND($D203='Auto Responses'!$J$27,$H203=""),'Auto Responses'!$J$5,IF(AND($D203='Auto Responses'!$J$27,$H203='Auto Responses'!$J$7),1,IF(AND($D203='Auto Responses'!$J$27,$H203='Auto Responses'!$J$8),0,IF(OR(AND($F203=$G203,$H203=""),$H203='Auto Responses'!$J$7),1,0)))))</f>
        <v>0</v>
      </c>
      <c r="M203" s="4" t="str">
        <f>VLOOKUP($A203,'Institution Evaluation'!$A$56:$K$345,11,0)&amp;""</f>
        <v>FALSE</v>
      </c>
      <c r="N203" s="4">
        <f>IF($J203='Auto Responses'!$J$11,1,IF(AND($J203="",$I203='Auto Responses'!$J$11),1,0))</f>
        <v>0</v>
      </c>
      <c r="O203" s="107" t="str">
        <f>IF(OR($F$21='Auto Responses'!$J$4,$E203='Auto Responses'!$L$13,$F203='Auto Responses'!$J$5),'Auto Responses'!$J$5,IF($J203="",$K203,IF($J203='Auto Responses'!$J$13,5,IF($J203='Auto Responses'!$J$12,10,IF($J203='Auto Responses'!$J$11,20,0)))))</f>
        <v>N/A</v>
      </c>
      <c r="P203" s="107" t="str">
        <f>IF(OR($O203='Auto Responses'!$J$5,$L203='Auto Responses'!$J$5),'Auto Responses'!$J$5,$O203*$L203)</f>
        <v>N/A</v>
      </c>
      <c r="Q203" s="107">
        <f t="shared" si="21"/>
        <v>0</v>
      </c>
      <c r="R203" s="107">
        <f t="shared" si="26"/>
        <v>0</v>
      </c>
      <c r="S203" s="107">
        <f t="shared" si="22"/>
        <v>0</v>
      </c>
      <c r="T203" s="107">
        <f t="shared" si="23"/>
        <v>0</v>
      </c>
      <c r="U203" s="107">
        <f t="shared" si="27"/>
        <v>59</v>
      </c>
      <c r="V203" s="107">
        <f t="shared" si="24"/>
        <v>0</v>
      </c>
    </row>
    <row r="204" spans="1:22" ht="55.2" x14ac:dyDescent="0.3">
      <c r="A204" s="4" t="str">
        <f>Questions!$A204</f>
        <v>HIPA-18</v>
      </c>
      <c r="B204" s="4" t="str">
        <f t="shared" si="25"/>
        <v>HIPA</v>
      </c>
      <c r="C204" s="4" t="str">
        <f>VLOOKUP($A204,Questions!$A$3:$L$333,2,0)&amp;""</f>
        <v>Does your application support varying levels of access to records based on user ID?</v>
      </c>
      <c r="D204" s="4" t="str">
        <f>VLOOKUP($A204,Questions!$A$3:$L$333,11,0)&amp;""</f>
        <v/>
      </c>
      <c r="E204" s="4" t="str">
        <f>VLOOKUP($A204,Questions!$A$3:$L$333,12,0)&amp;""</f>
        <v>Case-specific</v>
      </c>
      <c r="F204" s="4" t="str">
        <f>VLOOKUP($A204,'Institution Evaluation'!$A$56:$K$345,3,0)&amp;""</f>
        <v/>
      </c>
      <c r="G204" s="4" t="str">
        <f>VLOOKUP($A204,'Institution Evaluation'!$A$56:$K$345,7,0)&amp;""</f>
        <v>No</v>
      </c>
      <c r="H204" s="4" t="str">
        <f>VLOOKUP($A204,'Institution Evaluation'!$A$56:$K$345,8,0)&amp;""</f>
        <v/>
      </c>
      <c r="I204" s="4" t="str">
        <f>VLOOKUP($A204,'Institution Evaluation'!$A$56:$K$345,9,0)&amp;""</f>
        <v>Standard Importance</v>
      </c>
      <c r="J204" s="4" t="str">
        <f>VLOOKUP($A204,'Institution Evaluation'!$A$56:$K$345,10,0)&amp;""</f>
        <v/>
      </c>
      <c r="K204" s="4">
        <f>IF($I204='Auto Responses'!$J$11,20,IF($I204='Auto Responses'!$J$13,5,10))</f>
        <v>10</v>
      </c>
      <c r="L204" s="107">
        <f>IF($E204='Auto Responses'!$L$13, 'Auto Responses'!$J$5,IF(AND($D204='Auto Responses'!$J$27,$H204=""),'Auto Responses'!$J$5,IF(AND($D204='Auto Responses'!$J$27,$H204='Auto Responses'!$J$7),1,IF(AND($D204='Auto Responses'!$J$27,$H204='Auto Responses'!$J$8),0,IF(OR(AND($F204=$G204,$H204=""),$H204='Auto Responses'!$J$7),1,0)))))</f>
        <v>0</v>
      </c>
      <c r="M204" s="4" t="str">
        <f>VLOOKUP($A204,'Institution Evaluation'!$A$56:$K$345,11,0)&amp;""</f>
        <v>FALSE</v>
      </c>
      <c r="N204" s="4">
        <f>IF($J204='Auto Responses'!$J$11,1,IF(AND($J204="",$I204='Auto Responses'!$J$11),1,0))</f>
        <v>0</v>
      </c>
      <c r="O204" s="107" t="str">
        <f>IF(OR($F$21='Auto Responses'!$J$4,$E204='Auto Responses'!$L$13,$F204='Auto Responses'!$J$5),'Auto Responses'!$J$5,IF($J204="",$K204,IF($J204='Auto Responses'!$J$13,5,IF($J204='Auto Responses'!$J$12,10,IF($J204='Auto Responses'!$J$11,20,0)))))</f>
        <v>N/A</v>
      </c>
      <c r="P204" s="107" t="str">
        <f>IF(OR($O204='Auto Responses'!$J$5,$L204='Auto Responses'!$J$5),'Auto Responses'!$J$5,$O204*$L204)</f>
        <v>N/A</v>
      </c>
      <c r="Q204" s="107">
        <f t="shared" si="21"/>
        <v>0</v>
      </c>
      <c r="R204" s="107">
        <f t="shared" si="26"/>
        <v>0</v>
      </c>
      <c r="S204" s="107">
        <f t="shared" si="22"/>
        <v>0</v>
      </c>
      <c r="T204" s="107">
        <f t="shared" si="23"/>
        <v>0</v>
      </c>
      <c r="U204" s="107">
        <f t="shared" si="27"/>
        <v>59</v>
      </c>
      <c r="V204" s="107">
        <f t="shared" si="24"/>
        <v>0</v>
      </c>
    </row>
    <row r="205" spans="1:22" ht="55.2" x14ac:dyDescent="0.3">
      <c r="A205" s="4" t="str">
        <f>Questions!$A205</f>
        <v>HIPA-19</v>
      </c>
      <c r="B205" s="4" t="str">
        <f t="shared" si="25"/>
        <v>HIPA</v>
      </c>
      <c r="C205" s="4" t="str">
        <f>VLOOKUP($A205,Questions!$A$3:$L$333,2,0)&amp;""</f>
        <v>Is there a limit to the number of groups to which a user can be assigned?</v>
      </c>
      <c r="D205" s="4" t="str">
        <f>VLOOKUP($A205,Questions!$A$3:$L$333,11,0)&amp;""</f>
        <v/>
      </c>
      <c r="E205" s="4" t="str">
        <f>VLOOKUP($A205,Questions!$A$3:$L$333,12,0)&amp;""</f>
        <v>Case-specific</v>
      </c>
      <c r="F205" s="4" t="str">
        <f>VLOOKUP($A205,'Institution Evaluation'!$A$56:$K$345,3,0)&amp;""</f>
        <v/>
      </c>
      <c r="G205" s="4" t="str">
        <f>VLOOKUP($A205,'Institution Evaluation'!$A$56:$K$345,7,0)&amp;""</f>
        <v>Yes</v>
      </c>
      <c r="H205" s="4" t="str">
        <f>VLOOKUP($A205,'Institution Evaluation'!$A$56:$K$345,8,0)&amp;""</f>
        <v/>
      </c>
      <c r="I205" s="4" t="str">
        <f>VLOOKUP($A205,'Institution Evaluation'!$A$56:$K$345,9,0)&amp;""</f>
        <v>Standard Importance</v>
      </c>
      <c r="J205" s="4" t="str">
        <f>VLOOKUP($A205,'Institution Evaluation'!$A$56:$K$345,10,0)&amp;""</f>
        <v/>
      </c>
      <c r="K205" s="4">
        <f>IF($I205='Auto Responses'!$J$11,20,IF($I205='Auto Responses'!$J$13,5,10))</f>
        <v>10</v>
      </c>
      <c r="L205" s="107">
        <f>IF($E205='Auto Responses'!$L$13, 'Auto Responses'!$J$5,IF(AND($D205='Auto Responses'!$J$27,$H205=""),'Auto Responses'!$J$5,IF(AND($D205='Auto Responses'!$J$27,$H205='Auto Responses'!$J$7),1,IF(AND($D205='Auto Responses'!$J$27,$H205='Auto Responses'!$J$8),0,IF(OR(AND($F205=$G205,$H205=""),$H205='Auto Responses'!$J$7),1,0)))))</f>
        <v>0</v>
      </c>
      <c r="M205" s="4" t="str">
        <f>VLOOKUP($A205,'Institution Evaluation'!$A$56:$K$345,11,0)&amp;""</f>
        <v>FALSE</v>
      </c>
      <c r="N205" s="4">
        <f>IF($J205='Auto Responses'!$J$11,1,IF(AND($J205="",$I205='Auto Responses'!$J$11),1,0))</f>
        <v>0</v>
      </c>
      <c r="O205" s="107" t="str">
        <f>IF(OR($F$21='Auto Responses'!$J$4,$E205='Auto Responses'!$L$13,$F205='Auto Responses'!$J$5),'Auto Responses'!$J$5,IF($J205="",$K205,IF($J205='Auto Responses'!$J$13,5,IF($J205='Auto Responses'!$J$12,10,IF($J205='Auto Responses'!$J$11,20,0)))))</f>
        <v>N/A</v>
      </c>
      <c r="P205" s="107" t="str">
        <f>IF(OR($O205='Auto Responses'!$J$5,$L205='Auto Responses'!$J$5),'Auto Responses'!$J$5,$O205*$L205)</f>
        <v>N/A</v>
      </c>
      <c r="Q205" s="107">
        <f t="shared" si="21"/>
        <v>0</v>
      </c>
      <c r="R205" s="107">
        <f t="shared" si="26"/>
        <v>0</v>
      </c>
      <c r="S205" s="107">
        <f t="shared" si="22"/>
        <v>0</v>
      </c>
      <c r="T205" s="107">
        <f t="shared" si="23"/>
        <v>0</v>
      </c>
      <c r="U205" s="107">
        <f t="shared" si="27"/>
        <v>59</v>
      </c>
      <c r="V205" s="107">
        <f t="shared" si="24"/>
        <v>0</v>
      </c>
    </row>
    <row r="206" spans="1:22" ht="55.2" x14ac:dyDescent="0.3">
      <c r="A206" s="4" t="str">
        <f>Questions!$A206</f>
        <v>HIPA-20</v>
      </c>
      <c r="B206" s="4" t="str">
        <f t="shared" si="25"/>
        <v>HIPA</v>
      </c>
      <c r="C206" s="4" t="str">
        <f>VLOOKUP($A206,Questions!$A$3:$L$333,2,0)&amp;""</f>
        <v>Do accounts used for solution provider-supplied remote support abide by the same authentication policies and access logging as the rest of the system?</v>
      </c>
      <c r="D206" s="4" t="str">
        <f>VLOOKUP($A206,Questions!$A$3:$L$333,11,0)&amp;""</f>
        <v/>
      </c>
      <c r="E206" s="4" t="str">
        <f>VLOOKUP($A206,Questions!$A$3:$L$333,12,0)&amp;""</f>
        <v>Case-specific</v>
      </c>
      <c r="F206" s="4" t="str">
        <f>VLOOKUP($A206,'Institution Evaluation'!$A$56:$K$345,3,0)&amp;""</f>
        <v/>
      </c>
      <c r="G206" s="4" t="str">
        <f>VLOOKUP($A206,'Institution Evaluation'!$A$56:$K$345,7,0)&amp;""</f>
        <v>Yes</v>
      </c>
      <c r="H206" s="4" t="str">
        <f>VLOOKUP($A206,'Institution Evaluation'!$A$56:$K$345,8,0)&amp;""</f>
        <v/>
      </c>
      <c r="I206" s="4" t="str">
        <f>VLOOKUP($A206,'Institution Evaluation'!$A$56:$K$345,9,0)&amp;""</f>
        <v>Standard Importance</v>
      </c>
      <c r="J206" s="4" t="str">
        <f>VLOOKUP($A206,'Institution Evaluation'!$A$56:$K$345,10,0)&amp;""</f>
        <v/>
      </c>
      <c r="K206" s="4">
        <f>IF($I206='Auto Responses'!$J$11,20,IF($I206='Auto Responses'!$J$13,5,10))</f>
        <v>10</v>
      </c>
      <c r="L206" s="107">
        <f>IF($E206='Auto Responses'!$L$13, 'Auto Responses'!$J$5,IF(AND($D206='Auto Responses'!$J$27,$H206=""),'Auto Responses'!$J$5,IF(AND($D206='Auto Responses'!$J$27,$H206='Auto Responses'!$J$7),1,IF(AND($D206='Auto Responses'!$J$27,$H206='Auto Responses'!$J$8),0,IF(OR(AND($F206=$G206,$H206=""),$H206='Auto Responses'!$J$7),1,0)))))</f>
        <v>0</v>
      </c>
      <c r="M206" s="4" t="str">
        <f>VLOOKUP($A206,'Institution Evaluation'!$A$56:$K$345,11,0)&amp;""</f>
        <v>FALSE</v>
      </c>
      <c r="N206" s="4">
        <f>IF($J206='Auto Responses'!$J$11,1,IF(AND($J206="",$I206='Auto Responses'!$J$11),1,0))</f>
        <v>0</v>
      </c>
      <c r="O206" s="107" t="str">
        <f>IF(OR($F$21='Auto Responses'!$J$4,$E206='Auto Responses'!$L$13,$F206='Auto Responses'!$J$5),'Auto Responses'!$J$5,IF($J206="",$K206,IF($J206='Auto Responses'!$J$13,5,IF($J206='Auto Responses'!$J$12,10,IF($J206='Auto Responses'!$J$11,20,0)))))</f>
        <v>N/A</v>
      </c>
      <c r="P206" s="107" t="str">
        <f>IF(OR($O206='Auto Responses'!$J$5,$L206='Auto Responses'!$J$5),'Auto Responses'!$J$5,$O206*$L206)</f>
        <v>N/A</v>
      </c>
      <c r="Q206" s="107">
        <f t="shared" si="21"/>
        <v>0</v>
      </c>
      <c r="R206" s="107">
        <f t="shared" si="26"/>
        <v>0</v>
      </c>
      <c r="S206" s="107">
        <f t="shared" si="22"/>
        <v>0</v>
      </c>
      <c r="T206" s="107">
        <f t="shared" si="23"/>
        <v>0</v>
      </c>
      <c r="U206" s="107">
        <f t="shared" si="27"/>
        <v>59</v>
      </c>
      <c r="V206" s="107">
        <f t="shared" si="24"/>
        <v>0</v>
      </c>
    </row>
    <row r="207" spans="1:22" ht="55.2" x14ac:dyDescent="0.3">
      <c r="A207" s="4" t="str">
        <f>Questions!$A207</f>
        <v>HIPA-21</v>
      </c>
      <c r="B207" s="4" t="str">
        <f t="shared" si="25"/>
        <v>HIPA</v>
      </c>
      <c r="C207" s="4" t="str">
        <f>VLOOKUP($A207,Questions!$A$3:$L$333,2,0)&amp;""</f>
        <v>Does the application log record access including specific user, date/time of access, and originating IP or device?</v>
      </c>
      <c r="D207" s="4" t="str">
        <f>VLOOKUP($A207,Questions!$A$3:$L$333,11,0)&amp;""</f>
        <v/>
      </c>
      <c r="E207" s="4" t="str">
        <f>VLOOKUP($A207,Questions!$A$3:$L$333,12,0)&amp;""</f>
        <v>Case-specific</v>
      </c>
      <c r="F207" s="4" t="str">
        <f>VLOOKUP($A207,'Institution Evaluation'!$A$56:$K$345,3,0)&amp;""</f>
        <v/>
      </c>
      <c r="G207" s="4" t="str">
        <f>VLOOKUP($A207,'Institution Evaluation'!$A$56:$K$345,7,0)&amp;""</f>
        <v>Yes</v>
      </c>
      <c r="H207" s="4" t="str">
        <f>VLOOKUP($A207,'Institution Evaluation'!$A$56:$K$345,8,0)&amp;""</f>
        <v/>
      </c>
      <c r="I207" s="4" t="str">
        <f>VLOOKUP($A207,'Institution Evaluation'!$A$56:$K$345,9,0)&amp;""</f>
        <v>Standard Importance</v>
      </c>
      <c r="J207" s="4" t="str">
        <f>VLOOKUP($A207,'Institution Evaluation'!$A$56:$K$345,10,0)&amp;""</f>
        <v/>
      </c>
      <c r="K207" s="4">
        <f>IF($I207='Auto Responses'!$J$11,20,IF($I207='Auto Responses'!$J$13,5,10))</f>
        <v>10</v>
      </c>
      <c r="L207" s="107">
        <f>IF($E207='Auto Responses'!$L$13, 'Auto Responses'!$J$5,IF(AND($D207='Auto Responses'!$J$27,$H207=""),'Auto Responses'!$J$5,IF(AND($D207='Auto Responses'!$J$27,$H207='Auto Responses'!$J$7),1,IF(AND($D207='Auto Responses'!$J$27,$H207='Auto Responses'!$J$8),0,IF(OR(AND($F207=$G207,$H207=""),$H207='Auto Responses'!$J$7),1,0)))))</f>
        <v>0</v>
      </c>
      <c r="M207" s="4" t="str">
        <f>VLOOKUP($A207,'Institution Evaluation'!$A$56:$K$345,11,0)&amp;""</f>
        <v>FALSE</v>
      </c>
      <c r="N207" s="4">
        <f>IF($J207='Auto Responses'!$J$11,1,IF(AND($J207="",$I207='Auto Responses'!$J$11),1,0))</f>
        <v>0</v>
      </c>
      <c r="O207" s="107" t="str">
        <f>IF(OR($F$21='Auto Responses'!$J$4,$E207='Auto Responses'!$L$13,$F207='Auto Responses'!$J$5),'Auto Responses'!$J$5,IF($J207="",$K207,IF($J207='Auto Responses'!$J$13,5,IF($J207='Auto Responses'!$J$12,10,IF($J207='Auto Responses'!$J$11,20,0)))))</f>
        <v>N/A</v>
      </c>
      <c r="P207" s="107" t="str">
        <f>IF(OR($O207='Auto Responses'!$J$5,$L207='Auto Responses'!$J$5),'Auto Responses'!$J$5,$O207*$L207)</f>
        <v>N/A</v>
      </c>
      <c r="Q207" s="107">
        <f t="shared" si="21"/>
        <v>0</v>
      </c>
      <c r="R207" s="107">
        <f t="shared" si="26"/>
        <v>0</v>
      </c>
      <c r="S207" s="107">
        <f t="shared" si="22"/>
        <v>0</v>
      </c>
      <c r="T207" s="107">
        <f t="shared" si="23"/>
        <v>0</v>
      </c>
      <c r="U207" s="107">
        <f t="shared" si="27"/>
        <v>59</v>
      </c>
      <c r="V207" s="107">
        <f t="shared" si="24"/>
        <v>0</v>
      </c>
    </row>
    <row r="208" spans="1:22" ht="55.2" x14ac:dyDescent="0.3">
      <c r="A208" s="4" t="str">
        <f>Questions!$A208</f>
        <v>HIPA-22</v>
      </c>
      <c r="B208" s="4" t="str">
        <f t="shared" si="25"/>
        <v>HIPA</v>
      </c>
      <c r="C208" s="4" t="str">
        <f>VLOOKUP($A208,Questions!$A$3:$L$333,2,0)&amp;""</f>
        <v>Does the application log administrative activity, such as user account access changes and password changes, including specific user, date/time of changes, and originating IP or device?</v>
      </c>
      <c r="D208" s="4" t="str">
        <f>VLOOKUP($A208,Questions!$A$3:$L$333,11,0)&amp;""</f>
        <v/>
      </c>
      <c r="E208" s="4" t="str">
        <f>VLOOKUP($A208,Questions!$A$3:$L$333,12,0)&amp;""</f>
        <v>Case-specific</v>
      </c>
      <c r="F208" s="4" t="str">
        <f>VLOOKUP($A208,'Institution Evaluation'!$A$56:$K$345,3,0)&amp;""</f>
        <v/>
      </c>
      <c r="G208" s="4" t="str">
        <f>VLOOKUP($A208,'Institution Evaluation'!$A$56:$K$345,7,0)&amp;""</f>
        <v>Yes</v>
      </c>
      <c r="H208" s="4" t="str">
        <f>VLOOKUP($A208,'Institution Evaluation'!$A$56:$K$345,8,0)&amp;""</f>
        <v/>
      </c>
      <c r="I208" s="4" t="str">
        <f>VLOOKUP($A208,'Institution Evaluation'!$A$56:$K$345,9,0)&amp;""</f>
        <v>Standard Importance</v>
      </c>
      <c r="J208" s="4" t="str">
        <f>VLOOKUP($A208,'Institution Evaluation'!$A$56:$K$345,10,0)&amp;""</f>
        <v/>
      </c>
      <c r="K208" s="4">
        <f>IF($I208='Auto Responses'!$J$11,20,IF($I208='Auto Responses'!$J$13,5,10))</f>
        <v>10</v>
      </c>
      <c r="L208" s="107">
        <f>IF($E208='Auto Responses'!$L$13, 'Auto Responses'!$J$5,IF(AND($D208='Auto Responses'!$J$27,$H208=""),'Auto Responses'!$J$5,IF(AND($D208='Auto Responses'!$J$27,$H208='Auto Responses'!$J$7),1,IF(AND($D208='Auto Responses'!$J$27,$H208='Auto Responses'!$J$8),0,IF(OR(AND($F208=$G208,$H208=""),$H208='Auto Responses'!$J$7),1,0)))))</f>
        <v>0</v>
      </c>
      <c r="M208" s="4" t="str">
        <f>VLOOKUP($A208,'Institution Evaluation'!$A$56:$K$345,11,0)&amp;""</f>
        <v>FALSE</v>
      </c>
      <c r="N208" s="4">
        <f>IF($J208='Auto Responses'!$J$11,1,IF(AND($J208="",$I208='Auto Responses'!$J$11),1,0))</f>
        <v>0</v>
      </c>
      <c r="O208" s="107" t="str">
        <f>IF(OR($F$21='Auto Responses'!$J$4,$E208='Auto Responses'!$L$13,$F208='Auto Responses'!$J$5),'Auto Responses'!$J$5,IF($J208="",$K208,IF($J208='Auto Responses'!$J$13,5,IF($J208='Auto Responses'!$J$12,10,IF($J208='Auto Responses'!$J$11,20,0)))))</f>
        <v>N/A</v>
      </c>
      <c r="P208" s="107" t="str">
        <f>IF(OR($O208='Auto Responses'!$J$5,$L208='Auto Responses'!$J$5),'Auto Responses'!$J$5,$O208*$L208)</f>
        <v>N/A</v>
      </c>
      <c r="Q208" s="107">
        <f t="shared" si="21"/>
        <v>0</v>
      </c>
      <c r="R208" s="107">
        <f t="shared" si="26"/>
        <v>0</v>
      </c>
      <c r="S208" s="107">
        <f t="shared" si="22"/>
        <v>0</v>
      </c>
      <c r="T208" s="107">
        <f t="shared" si="23"/>
        <v>0</v>
      </c>
      <c r="U208" s="107">
        <f t="shared" si="27"/>
        <v>59</v>
      </c>
      <c r="V208" s="107">
        <f t="shared" si="24"/>
        <v>0</v>
      </c>
    </row>
    <row r="209" spans="1:22" ht="55.2" x14ac:dyDescent="0.3">
      <c r="A209" s="4" t="str">
        <f>Questions!$A209</f>
        <v>HIPA-23</v>
      </c>
      <c r="B209" s="4" t="str">
        <f t="shared" si="25"/>
        <v>HIPA</v>
      </c>
      <c r="C209" s="4" t="str">
        <f>VLOOKUP($A209,Questions!$A$3:$L$333,2,0)&amp;""</f>
        <v>Do you retain logs for at least as long as required by HIPAA regulations?</v>
      </c>
      <c r="D209" s="4" t="str">
        <f>VLOOKUP($A209,Questions!$A$3:$L$333,11,0)&amp;""</f>
        <v/>
      </c>
      <c r="E209" s="4" t="str">
        <f>VLOOKUP($A209,Questions!$A$3:$L$333,12,0)&amp;""</f>
        <v>Case-specific</v>
      </c>
      <c r="F209" s="4" t="str">
        <f>VLOOKUP($A209,'Institution Evaluation'!$A$56:$K$345,3,0)&amp;""</f>
        <v/>
      </c>
      <c r="G209" s="4" t="str">
        <f>VLOOKUP($A209,'Institution Evaluation'!$A$56:$K$345,7,0)&amp;""</f>
        <v>Yes</v>
      </c>
      <c r="H209" s="4" t="str">
        <f>VLOOKUP($A209,'Institution Evaluation'!$A$56:$K$345,8,0)&amp;""</f>
        <v/>
      </c>
      <c r="I209" s="4" t="str">
        <f>VLOOKUP($A209,'Institution Evaluation'!$A$56:$K$345,9,0)&amp;""</f>
        <v>Standard Importance</v>
      </c>
      <c r="J209" s="4" t="str">
        <f>VLOOKUP($A209,'Institution Evaluation'!$A$56:$K$345,10,0)&amp;""</f>
        <v/>
      </c>
      <c r="K209" s="4">
        <f>IF($I209='Auto Responses'!$J$11,20,IF($I209='Auto Responses'!$J$13,5,10))</f>
        <v>10</v>
      </c>
      <c r="L209" s="107">
        <f>IF($E209='Auto Responses'!$L$13, 'Auto Responses'!$J$5,IF(AND($D209='Auto Responses'!$J$27,$H209=""),'Auto Responses'!$J$5,IF(AND($D209='Auto Responses'!$J$27,$H209='Auto Responses'!$J$7),1,IF(AND($D209='Auto Responses'!$J$27,$H209='Auto Responses'!$J$8),0,IF(OR(AND($F209=$G209,$H209=""),$H209='Auto Responses'!$J$7),1,0)))))</f>
        <v>0</v>
      </c>
      <c r="M209" s="4" t="str">
        <f>VLOOKUP($A209,'Institution Evaluation'!$A$56:$K$345,11,0)&amp;""</f>
        <v>FALSE</v>
      </c>
      <c r="N209" s="4">
        <f>IF($J209='Auto Responses'!$J$11,1,IF(AND($J209="",$I209='Auto Responses'!$J$11),1,0))</f>
        <v>0</v>
      </c>
      <c r="O209" s="107" t="str">
        <f>IF(OR($F$21='Auto Responses'!$J$4,$E209='Auto Responses'!$L$13,$F209='Auto Responses'!$J$5),'Auto Responses'!$J$5,IF($J209="",$K209,IF($J209='Auto Responses'!$J$13,5,IF($J209='Auto Responses'!$J$12,10,IF($J209='Auto Responses'!$J$11,20,0)))))</f>
        <v>N/A</v>
      </c>
      <c r="P209" s="107" t="str">
        <f>IF(OR($O209='Auto Responses'!$J$5,$L209='Auto Responses'!$J$5),'Auto Responses'!$J$5,$O209*$L209)</f>
        <v>N/A</v>
      </c>
      <c r="Q209" s="107">
        <f t="shared" si="21"/>
        <v>0</v>
      </c>
      <c r="R209" s="107">
        <f t="shared" si="26"/>
        <v>0</v>
      </c>
      <c r="S209" s="107">
        <f t="shared" si="22"/>
        <v>0</v>
      </c>
      <c r="T209" s="107">
        <f t="shared" si="23"/>
        <v>0</v>
      </c>
      <c r="U209" s="107">
        <f t="shared" si="27"/>
        <v>59</v>
      </c>
      <c r="V209" s="107">
        <f t="shared" si="24"/>
        <v>0</v>
      </c>
    </row>
    <row r="210" spans="1:22" ht="55.2" x14ac:dyDescent="0.3">
      <c r="A210" s="4" t="str">
        <f>Questions!$A210</f>
        <v>HIPA-24</v>
      </c>
      <c r="B210" s="4" t="str">
        <f t="shared" si="25"/>
        <v>HIPA</v>
      </c>
      <c r="C210" s="4" t="str">
        <f>VLOOKUP($A210,Questions!$A$3:$L$333,2,0)&amp;""</f>
        <v>Can the application logs be archived?</v>
      </c>
      <c r="D210" s="4" t="str">
        <f>VLOOKUP($A210,Questions!$A$3:$L$333,11,0)&amp;""</f>
        <v/>
      </c>
      <c r="E210" s="4" t="str">
        <f>VLOOKUP($A210,Questions!$A$3:$L$333,12,0)&amp;""</f>
        <v>Case-specific</v>
      </c>
      <c r="F210" s="4" t="str">
        <f>VLOOKUP($A210,'Institution Evaluation'!$A$56:$K$345,3,0)&amp;""</f>
        <v/>
      </c>
      <c r="G210" s="4" t="str">
        <f>VLOOKUP($A210,'Institution Evaluation'!$A$56:$K$345,7,0)&amp;""</f>
        <v>Yes</v>
      </c>
      <c r="H210" s="4" t="str">
        <f>VLOOKUP($A210,'Institution Evaluation'!$A$56:$K$345,8,0)&amp;""</f>
        <v/>
      </c>
      <c r="I210" s="4" t="str">
        <f>VLOOKUP($A210,'Institution Evaluation'!$A$56:$K$345,9,0)&amp;""</f>
        <v>Standard Importance</v>
      </c>
      <c r="J210" s="4" t="str">
        <f>VLOOKUP($A210,'Institution Evaluation'!$A$56:$K$345,10,0)&amp;""</f>
        <v/>
      </c>
      <c r="K210" s="4">
        <f>IF($I210='Auto Responses'!$J$11,20,IF($I210='Auto Responses'!$J$13,5,10))</f>
        <v>10</v>
      </c>
      <c r="L210" s="107">
        <f>IF($E210='Auto Responses'!$L$13, 'Auto Responses'!$J$5,IF(AND($D210='Auto Responses'!$J$27,$H210=""),'Auto Responses'!$J$5,IF(AND($D210='Auto Responses'!$J$27,$H210='Auto Responses'!$J$7),1,IF(AND($D210='Auto Responses'!$J$27,$H210='Auto Responses'!$J$8),0,IF(OR(AND($F210=$G210,$H210=""),$H210='Auto Responses'!$J$7),1,0)))))</f>
        <v>0</v>
      </c>
      <c r="M210" s="4" t="str">
        <f>VLOOKUP($A210,'Institution Evaluation'!$A$56:$K$345,11,0)&amp;""</f>
        <v>FALSE</v>
      </c>
      <c r="N210" s="4">
        <f>IF($J210='Auto Responses'!$J$11,1,IF(AND($J210="",$I210='Auto Responses'!$J$11),1,0))</f>
        <v>0</v>
      </c>
      <c r="O210" s="107" t="str">
        <f>IF(OR($F$21='Auto Responses'!$J$4,$E210='Auto Responses'!$L$13,$F210='Auto Responses'!$J$5),'Auto Responses'!$J$5,IF($J210="",$K210,IF($J210='Auto Responses'!$J$13,5,IF($J210='Auto Responses'!$J$12,10,IF($J210='Auto Responses'!$J$11,20,0)))))</f>
        <v>N/A</v>
      </c>
      <c r="P210" s="107" t="str">
        <f>IF(OR($O210='Auto Responses'!$J$5,$L210='Auto Responses'!$J$5),'Auto Responses'!$J$5,$O210*$L210)</f>
        <v>N/A</v>
      </c>
      <c r="Q210" s="107">
        <f t="shared" si="21"/>
        <v>0</v>
      </c>
      <c r="R210" s="107">
        <f t="shared" si="26"/>
        <v>0</v>
      </c>
      <c r="S210" s="107">
        <f t="shared" si="22"/>
        <v>0</v>
      </c>
      <c r="T210" s="107">
        <f t="shared" si="23"/>
        <v>0</v>
      </c>
      <c r="U210" s="107">
        <f t="shared" si="27"/>
        <v>59</v>
      </c>
      <c r="V210" s="107">
        <f t="shared" si="24"/>
        <v>0</v>
      </c>
    </row>
    <row r="211" spans="1:22" ht="55.2" x14ac:dyDescent="0.3">
      <c r="A211" s="4" t="str">
        <f>Questions!$A211</f>
        <v>HIPA-25</v>
      </c>
      <c r="B211" s="4" t="str">
        <f t="shared" si="25"/>
        <v>HIPA</v>
      </c>
      <c r="C211" s="4" t="str">
        <f>VLOOKUP($A211,Questions!$A$3:$L$333,2,0)&amp;""</f>
        <v>Can the application logs be saved externally?</v>
      </c>
      <c r="D211" s="4" t="str">
        <f>VLOOKUP($A211,Questions!$A$3:$L$333,11,0)&amp;""</f>
        <v/>
      </c>
      <c r="E211" s="4" t="str">
        <f>VLOOKUP($A211,Questions!$A$3:$L$333,12,0)&amp;""</f>
        <v>Case-specific</v>
      </c>
      <c r="F211" s="4" t="str">
        <f>VLOOKUP($A211,'Institution Evaluation'!$A$56:$K$345,3,0)&amp;""</f>
        <v/>
      </c>
      <c r="G211" s="4" t="str">
        <f>VLOOKUP($A211,'Institution Evaluation'!$A$56:$K$345,7,0)&amp;""</f>
        <v>Yes</v>
      </c>
      <c r="H211" s="4" t="str">
        <f>VLOOKUP($A211,'Institution Evaluation'!$A$56:$K$345,8,0)&amp;""</f>
        <v/>
      </c>
      <c r="I211" s="4" t="str">
        <f>VLOOKUP($A211,'Institution Evaluation'!$A$56:$K$345,9,0)&amp;""</f>
        <v>Standard Importance</v>
      </c>
      <c r="J211" s="4" t="str">
        <f>VLOOKUP($A211,'Institution Evaluation'!$A$56:$K$345,10,0)&amp;""</f>
        <v/>
      </c>
      <c r="K211" s="4">
        <f>IF($I211='Auto Responses'!$J$11,20,IF($I211='Auto Responses'!$J$13,5,10))</f>
        <v>10</v>
      </c>
      <c r="L211" s="107">
        <f>IF($E211='Auto Responses'!$L$13, 'Auto Responses'!$J$5,IF(AND($D211='Auto Responses'!$J$27,$H211=""),'Auto Responses'!$J$5,IF(AND($D211='Auto Responses'!$J$27,$H211='Auto Responses'!$J$7),1,IF(AND($D211='Auto Responses'!$J$27,$H211='Auto Responses'!$J$8),0,IF(OR(AND($F211=$G211,$H211=""),$H211='Auto Responses'!$J$7),1,0)))))</f>
        <v>0</v>
      </c>
      <c r="M211" s="4" t="str">
        <f>VLOOKUP($A211,'Institution Evaluation'!$A$56:$K$345,11,0)&amp;""</f>
        <v>FALSE</v>
      </c>
      <c r="N211" s="4">
        <f>IF($J211='Auto Responses'!$J$11,1,IF(AND($J211="",$I211='Auto Responses'!$J$11),1,0))</f>
        <v>0</v>
      </c>
      <c r="O211" s="107" t="str">
        <f>IF(OR($F$21='Auto Responses'!$J$4,$E211='Auto Responses'!$L$13,$F211='Auto Responses'!$J$5),'Auto Responses'!$J$5,IF($J211="",$K211,IF($J211='Auto Responses'!$J$13,5,IF($J211='Auto Responses'!$J$12,10,IF($J211='Auto Responses'!$J$11,20,0)))))</f>
        <v>N/A</v>
      </c>
      <c r="P211" s="107" t="str">
        <f>IF(OR($O211='Auto Responses'!$J$5,$L211='Auto Responses'!$J$5),'Auto Responses'!$J$5,$O211*$L211)</f>
        <v>N/A</v>
      </c>
      <c r="Q211" s="107">
        <f t="shared" si="21"/>
        <v>0</v>
      </c>
      <c r="R211" s="107">
        <f t="shared" si="26"/>
        <v>0</v>
      </c>
      <c r="S211" s="107">
        <f t="shared" si="22"/>
        <v>0</v>
      </c>
      <c r="T211" s="107">
        <f t="shared" si="23"/>
        <v>0</v>
      </c>
      <c r="U211" s="107">
        <f t="shared" si="27"/>
        <v>59</v>
      </c>
      <c r="V211" s="107">
        <f t="shared" si="24"/>
        <v>0</v>
      </c>
    </row>
    <row r="212" spans="1:22" ht="55.2" x14ac:dyDescent="0.3">
      <c r="A212" s="4" t="str">
        <f>Questions!$A212</f>
        <v>HIPA-26</v>
      </c>
      <c r="B212" s="4" t="str">
        <f t="shared" si="25"/>
        <v>HIPA</v>
      </c>
      <c r="C212" s="4" t="str">
        <f>VLOOKUP($A212,Questions!$A$3:$L$333,2,0)&amp;""</f>
        <v>Do you have a disaster recovery plan and emergency mode operation plan?</v>
      </c>
      <c r="D212" s="4" t="str">
        <f>VLOOKUP($A212,Questions!$A$3:$L$333,11,0)&amp;""</f>
        <v/>
      </c>
      <c r="E212" s="4" t="str">
        <f>VLOOKUP($A212,Questions!$A$3:$L$333,12,0)&amp;""</f>
        <v>Case-specific</v>
      </c>
      <c r="F212" s="4" t="str">
        <f>VLOOKUP($A212,'Institution Evaluation'!$A$56:$K$345,3,0)&amp;""</f>
        <v/>
      </c>
      <c r="G212" s="4" t="str">
        <f>VLOOKUP($A212,'Institution Evaluation'!$A$56:$K$345,7,0)&amp;""</f>
        <v>Yes</v>
      </c>
      <c r="H212" s="4" t="str">
        <f>VLOOKUP($A212,'Institution Evaluation'!$A$56:$K$345,8,0)&amp;""</f>
        <v/>
      </c>
      <c r="I212" s="4" t="str">
        <f>VLOOKUP($A212,'Institution Evaluation'!$A$56:$K$345,9,0)&amp;""</f>
        <v>Standard Importance</v>
      </c>
      <c r="J212" s="4" t="str">
        <f>VLOOKUP($A212,'Institution Evaluation'!$A$56:$K$345,10,0)&amp;""</f>
        <v/>
      </c>
      <c r="K212" s="4">
        <f>IF($I212='Auto Responses'!$J$11,20,IF($I212='Auto Responses'!$J$13,5,10))</f>
        <v>10</v>
      </c>
      <c r="L212" s="107">
        <f>IF($E212='Auto Responses'!$L$13, 'Auto Responses'!$J$5,IF(AND($D212='Auto Responses'!$J$27,$H212=""),'Auto Responses'!$J$5,IF(AND($D212='Auto Responses'!$J$27,$H212='Auto Responses'!$J$7),1,IF(AND($D212='Auto Responses'!$J$27,$H212='Auto Responses'!$J$8),0,IF(OR(AND($F212=$G212,$H212=""),$H212='Auto Responses'!$J$7),1,0)))))</f>
        <v>0</v>
      </c>
      <c r="M212" s="4" t="str">
        <f>VLOOKUP($A212,'Institution Evaluation'!$A$56:$K$345,11,0)&amp;""</f>
        <v>FALSE</v>
      </c>
      <c r="N212" s="4">
        <f>IF($J212='Auto Responses'!$J$11,1,IF(AND($J212="",$I212='Auto Responses'!$J$11),1,0))</f>
        <v>0</v>
      </c>
      <c r="O212" s="107" t="str">
        <f>IF(OR($F$21='Auto Responses'!$J$4,$E212='Auto Responses'!$L$13,$F212='Auto Responses'!$J$5),'Auto Responses'!$J$5,IF($J212="",$K212,IF($J212='Auto Responses'!$J$13,5,IF($J212='Auto Responses'!$J$12,10,IF($J212='Auto Responses'!$J$11,20,0)))))</f>
        <v>N/A</v>
      </c>
      <c r="P212" s="107" t="str">
        <f>IF(OR($O212='Auto Responses'!$J$5,$L212='Auto Responses'!$J$5),'Auto Responses'!$J$5,$O212*$L212)</f>
        <v>N/A</v>
      </c>
      <c r="Q212" s="107">
        <f t="shared" si="21"/>
        <v>0</v>
      </c>
      <c r="R212" s="107">
        <f t="shared" si="26"/>
        <v>0</v>
      </c>
      <c r="S212" s="107">
        <f t="shared" si="22"/>
        <v>0</v>
      </c>
      <c r="T212" s="107">
        <f t="shared" si="23"/>
        <v>0</v>
      </c>
      <c r="U212" s="107">
        <f t="shared" si="27"/>
        <v>59</v>
      </c>
      <c r="V212" s="107">
        <f t="shared" si="24"/>
        <v>0</v>
      </c>
    </row>
    <row r="213" spans="1:22" ht="55.2" x14ac:dyDescent="0.3">
      <c r="A213" s="4" t="str">
        <f>Questions!$A213</f>
        <v>HIPA-27</v>
      </c>
      <c r="B213" s="4" t="str">
        <f t="shared" si="25"/>
        <v>HIPA</v>
      </c>
      <c r="C213" s="4" t="str">
        <f>VLOOKUP($A213,Questions!$A$3:$L$333,2,0)&amp;""</f>
        <v>Can you provide a HIPAA compliance attestation document?</v>
      </c>
      <c r="D213" s="4" t="str">
        <f>VLOOKUP($A213,Questions!$A$3:$L$333,11,0)&amp;""</f>
        <v/>
      </c>
      <c r="E213" s="4" t="str">
        <f>VLOOKUP($A213,Questions!$A$3:$L$333,12,0)&amp;""</f>
        <v>Case-specific</v>
      </c>
      <c r="F213" s="4" t="str">
        <f>VLOOKUP($A213,'Institution Evaluation'!$A$56:$K$345,3,0)&amp;""</f>
        <v/>
      </c>
      <c r="G213" s="4" t="str">
        <f>VLOOKUP($A213,'Institution Evaluation'!$A$56:$K$345,7,0)&amp;""</f>
        <v>Yes</v>
      </c>
      <c r="H213" s="4" t="str">
        <f>VLOOKUP($A213,'Institution Evaluation'!$A$56:$K$345,8,0)&amp;""</f>
        <v/>
      </c>
      <c r="I213" s="4" t="str">
        <f>VLOOKUP($A213,'Institution Evaluation'!$A$56:$K$345,9,0)&amp;""</f>
        <v>Standard Importance</v>
      </c>
      <c r="J213" s="4" t="str">
        <f>VLOOKUP($A213,'Institution Evaluation'!$A$56:$K$345,10,0)&amp;""</f>
        <v/>
      </c>
      <c r="K213" s="4">
        <f>IF($I213='Auto Responses'!$J$11,20,IF($I213='Auto Responses'!$J$13,5,10))</f>
        <v>10</v>
      </c>
      <c r="L213" s="107">
        <f>IF($E213='Auto Responses'!$L$13, 'Auto Responses'!$J$5,IF(AND($D213='Auto Responses'!$J$27,$H213=""),'Auto Responses'!$J$5,IF(AND($D213='Auto Responses'!$J$27,$H213='Auto Responses'!$J$7),1,IF(AND($D213='Auto Responses'!$J$27,$H213='Auto Responses'!$J$8),0,IF(OR(AND($F213=$G213,$H213=""),$H213='Auto Responses'!$J$7),1,0)))))</f>
        <v>0</v>
      </c>
      <c r="M213" s="4" t="str">
        <f>VLOOKUP($A213,'Institution Evaluation'!$A$56:$K$345,11,0)&amp;""</f>
        <v>FALSE</v>
      </c>
      <c r="N213" s="4">
        <f>IF($J213='Auto Responses'!$J$11,1,IF(AND($J213="",$I213='Auto Responses'!$J$11),1,0))</f>
        <v>0</v>
      </c>
      <c r="O213" s="107" t="str">
        <f>IF(OR($F$21='Auto Responses'!$J$4,$E213='Auto Responses'!$L$13,$F213='Auto Responses'!$J$5),'Auto Responses'!$J$5,IF($J213="",$K213,IF($J213='Auto Responses'!$J$13,5,IF($J213='Auto Responses'!$J$12,10,IF($J213='Auto Responses'!$J$11,20,0)))))</f>
        <v>N/A</v>
      </c>
      <c r="P213" s="107" t="str">
        <f>IF(OR($O213='Auto Responses'!$J$5,$L213='Auto Responses'!$J$5),'Auto Responses'!$J$5,$O213*$L213)</f>
        <v>N/A</v>
      </c>
      <c r="Q213" s="107">
        <f t="shared" si="21"/>
        <v>0</v>
      </c>
      <c r="R213" s="107">
        <f t="shared" si="26"/>
        <v>0</v>
      </c>
      <c r="S213" s="107">
        <f t="shared" si="22"/>
        <v>0</v>
      </c>
      <c r="T213" s="107">
        <f t="shared" si="23"/>
        <v>0</v>
      </c>
      <c r="U213" s="107">
        <f t="shared" si="27"/>
        <v>59</v>
      </c>
      <c r="V213" s="107">
        <f t="shared" si="24"/>
        <v>0</v>
      </c>
    </row>
    <row r="214" spans="1:22" ht="55.2" x14ac:dyDescent="0.3">
      <c r="A214" s="4" t="str">
        <f>Questions!$A214</f>
        <v>HIPA-28</v>
      </c>
      <c r="B214" s="4" t="str">
        <f t="shared" si="25"/>
        <v>HIPA</v>
      </c>
      <c r="C214" s="4" t="str">
        <f>VLOOKUP($A214,Questions!$A$3:$L$333,2,0)&amp;""</f>
        <v>Are you willing to enter into a Business Associate Agreement (BAA)?</v>
      </c>
      <c r="D214" s="4" t="str">
        <f>VLOOKUP($A214,Questions!$A$3:$L$333,11,0)&amp;""</f>
        <v/>
      </c>
      <c r="E214" s="4" t="str">
        <f>VLOOKUP($A214,Questions!$A$3:$L$333,12,0)&amp;""</f>
        <v>Case-specific</v>
      </c>
      <c r="F214" s="4" t="str">
        <f>VLOOKUP($A214,'Institution Evaluation'!$A$56:$K$345,3,0)&amp;""</f>
        <v/>
      </c>
      <c r="G214" s="4" t="str">
        <f>VLOOKUP($A214,'Institution Evaluation'!$A$56:$K$345,7,0)&amp;""</f>
        <v>Yes</v>
      </c>
      <c r="H214" s="4" t="str">
        <f>VLOOKUP($A214,'Institution Evaluation'!$A$56:$K$345,8,0)&amp;""</f>
        <v/>
      </c>
      <c r="I214" s="4" t="str">
        <f>VLOOKUP($A214,'Institution Evaluation'!$A$56:$K$345,9,0)&amp;""</f>
        <v>Standard Importance</v>
      </c>
      <c r="J214" s="4" t="str">
        <f>VLOOKUP($A214,'Institution Evaluation'!$A$56:$K$345,10,0)&amp;""</f>
        <v/>
      </c>
      <c r="K214" s="4">
        <f>IF($I214='Auto Responses'!$J$11,20,IF($I214='Auto Responses'!$J$13,5,10))</f>
        <v>10</v>
      </c>
      <c r="L214" s="107">
        <f>IF($E214='Auto Responses'!$L$13, 'Auto Responses'!$J$5,IF(AND($D214='Auto Responses'!$J$27,$H214=""),'Auto Responses'!$J$5,IF(AND($D214='Auto Responses'!$J$27,$H214='Auto Responses'!$J$7),1,IF(AND($D214='Auto Responses'!$J$27,$H214='Auto Responses'!$J$8),0,IF(OR(AND($F214=$G214,$H214=""),$H214='Auto Responses'!$J$7),1,0)))))</f>
        <v>0</v>
      </c>
      <c r="M214" s="4" t="str">
        <f>VLOOKUP($A214,'Institution Evaluation'!$A$56:$K$345,11,0)&amp;""</f>
        <v>FALSE</v>
      </c>
      <c r="N214" s="4">
        <f>IF($J214='Auto Responses'!$J$11,1,IF(AND($J214="",$I214='Auto Responses'!$J$11),1,0))</f>
        <v>0</v>
      </c>
      <c r="O214" s="107" t="str">
        <f>IF(OR($F$21='Auto Responses'!$J$4,$E214='Auto Responses'!$L$13,$F214='Auto Responses'!$J$5),'Auto Responses'!$J$5,IF($J214="",$K214,IF($J214='Auto Responses'!$J$13,5,IF($J214='Auto Responses'!$J$12,10,IF($J214='Auto Responses'!$J$11,20,0)))))</f>
        <v>N/A</v>
      </c>
      <c r="P214" s="107" t="str">
        <f>IF(OR($O214='Auto Responses'!$J$5,$L214='Auto Responses'!$J$5),'Auto Responses'!$J$5,$O214*$L214)</f>
        <v>N/A</v>
      </c>
      <c r="Q214" s="107">
        <f t="shared" si="21"/>
        <v>0</v>
      </c>
      <c r="R214" s="107">
        <f t="shared" si="26"/>
        <v>0</v>
      </c>
      <c r="S214" s="107">
        <f t="shared" si="22"/>
        <v>0</v>
      </c>
      <c r="T214" s="107">
        <f t="shared" si="23"/>
        <v>0</v>
      </c>
      <c r="U214" s="107">
        <f t="shared" si="27"/>
        <v>59</v>
      </c>
      <c r="V214" s="107">
        <f t="shared" si="24"/>
        <v>0</v>
      </c>
    </row>
    <row r="215" spans="1:22" ht="55.2" x14ac:dyDescent="0.3">
      <c r="A215" s="4" t="str">
        <f>Questions!$A215</f>
        <v>HIPA-29</v>
      </c>
      <c r="B215" s="4" t="str">
        <f t="shared" si="25"/>
        <v>HIPA</v>
      </c>
      <c r="C215" s="4" t="str">
        <f>VLOOKUP($A215,Questions!$A$3:$L$333,2,0)&amp;""</f>
        <v>Do your data backup and retention policies and practices meet HIPAA requirements?</v>
      </c>
      <c r="D215" s="4" t="str">
        <f>VLOOKUP($A215,Questions!$A$3:$L$333,11,0)&amp;""</f>
        <v/>
      </c>
      <c r="E215" s="4" t="str">
        <f>VLOOKUP($A215,Questions!$A$3:$L$333,12,0)&amp;""</f>
        <v>Case-specific</v>
      </c>
      <c r="F215" s="4" t="str">
        <f>VLOOKUP($A215,'Institution Evaluation'!$A$56:$K$345,3,0)&amp;""</f>
        <v/>
      </c>
      <c r="G215" s="4" t="str">
        <f>VLOOKUP($A215,'Institution Evaluation'!$A$56:$K$345,7,0)&amp;""</f>
        <v>Yes</v>
      </c>
      <c r="H215" s="4" t="str">
        <f>VLOOKUP($A215,'Institution Evaluation'!$A$56:$K$345,8,0)&amp;""</f>
        <v/>
      </c>
      <c r="I215" s="4" t="str">
        <f>VLOOKUP($A215,'Institution Evaluation'!$A$56:$K$345,9,0)&amp;""</f>
        <v>Minor Importance</v>
      </c>
      <c r="J215" s="4" t="str">
        <f>VLOOKUP($A215,'Institution Evaluation'!$A$56:$K$345,10,0)&amp;""</f>
        <v/>
      </c>
      <c r="K215" s="4">
        <f>IF($I215='Auto Responses'!$J$11,20,IF($I215='Auto Responses'!$J$13,5,10))</f>
        <v>5</v>
      </c>
      <c r="L215" s="107">
        <f>IF($E215='Auto Responses'!$L$13, 'Auto Responses'!$J$5,IF(AND($D215='Auto Responses'!$J$27,$H215=""),'Auto Responses'!$J$5,IF(AND($D215='Auto Responses'!$J$27,$H215='Auto Responses'!$J$7),1,IF(AND($D215='Auto Responses'!$J$27,$H215='Auto Responses'!$J$8),0,IF(OR(AND($F215=$G215,$H215=""),$H215='Auto Responses'!$J$7),1,0)))))</f>
        <v>0</v>
      </c>
      <c r="M215" s="4" t="str">
        <f>VLOOKUP($A215,'Institution Evaluation'!$A$56:$K$345,11,0)&amp;""</f>
        <v>FALSE</v>
      </c>
      <c r="N215" s="4">
        <f>IF($J215='Auto Responses'!$J$11,1,IF(AND($J215="",$I215='Auto Responses'!$J$11),1,0))</f>
        <v>0</v>
      </c>
      <c r="O215" s="107" t="str">
        <f>IF(OR($F$21='Auto Responses'!$J$4,$E215='Auto Responses'!$L$13,$F215='Auto Responses'!$J$5),'Auto Responses'!$J$5,IF($J215="",$K215,IF($J215='Auto Responses'!$J$13,5,IF($J215='Auto Responses'!$J$12,10,IF($J215='Auto Responses'!$J$11,20,0)))))</f>
        <v>N/A</v>
      </c>
      <c r="P215" s="107" t="str">
        <f>IF(OR($O215='Auto Responses'!$J$5,$L215='Auto Responses'!$J$5),'Auto Responses'!$J$5,$O215*$L215)</f>
        <v>N/A</v>
      </c>
      <c r="Q215" s="107">
        <f t="shared" si="21"/>
        <v>0</v>
      </c>
      <c r="R215" s="107">
        <f t="shared" si="26"/>
        <v>0</v>
      </c>
      <c r="S215" s="107">
        <f t="shared" si="22"/>
        <v>0</v>
      </c>
      <c r="T215" s="107">
        <f t="shared" si="23"/>
        <v>0</v>
      </c>
      <c r="U215" s="107">
        <f t="shared" si="27"/>
        <v>59</v>
      </c>
      <c r="V215" s="107">
        <f t="shared" si="24"/>
        <v>0</v>
      </c>
    </row>
    <row r="216" spans="1:22" ht="55.2" x14ac:dyDescent="0.3">
      <c r="A216" s="4" t="str">
        <f>Questions!$A216</f>
        <v>PCID-01</v>
      </c>
      <c r="B216" s="4" t="str">
        <f t="shared" si="25"/>
        <v>PCID</v>
      </c>
      <c r="C216" s="4" t="str">
        <f>VLOOKUP($A216,Questions!$A$3:$L$333,2,0)&amp;""</f>
        <v>Do you have a current, executed within the past year, Attestation of Compliance (AoC) or Report on Compliance (RoC)?*</v>
      </c>
      <c r="D216" s="4" t="str">
        <f>VLOOKUP($A216,Questions!$A$3:$L$333,11,0)&amp;""</f>
        <v/>
      </c>
      <c r="E216" s="4" t="str">
        <f>VLOOKUP($A216,Questions!$A$3:$L$333,12,0)&amp;""</f>
        <v>Case-Specific</v>
      </c>
      <c r="F216" s="4" t="str">
        <f>VLOOKUP($A216,'Institution Evaluation'!$A$56:$K$345,3,0)&amp;""</f>
        <v/>
      </c>
      <c r="G216" s="4" t="str">
        <f>VLOOKUP($A216,'Institution Evaluation'!$A$56:$K$345,7,0)&amp;""</f>
        <v>Yes</v>
      </c>
      <c r="H216" s="4" t="str">
        <f>VLOOKUP($A216,'Institution Evaluation'!$A$56:$K$345,8,0)&amp;""</f>
        <v/>
      </c>
      <c r="I216" s="4" t="str">
        <f>VLOOKUP($A216,'Institution Evaluation'!$A$56:$K$345,9,0)&amp;""</f>
        <v>Critical Importance</v>
      </c>
      <c r="J216" s="4" t="str">
        <f>VLOOKUP($A216,'Institution Evaluation'!$A$56:$K$345,10,0)&amp;""</f>
        <v/>
      </c>
      <c r="K216" s="4">
        <f>IF($I216='Auto Responses'!$J$11,20,IF($I216='Auto Responses'!$J$13,5,10))</f>
        <v>20</v>
      </c>
      <c r="L216" s="107">
        <f>IF($E216='Auto Responses'!$L$13, 'Auto Responses'!$J$5,IF(AND($D216='Auto Responses'!$J$27,$H216=""),'Auto Responses'!$J$5,IF(AND($D216='Auto Responses'!$J$27,$H216='Auto Responses'!$J$7),1,IF(AND($D216='Auto Responses'!$J$27,$H216='Auto Responses'!$J$8),0,IF(OR(AND($F216=$G216,$H216=""),$H216='Auto Responses'!$J$7),1,0)))))</f>
        <v>0</v>
      </c>
      <c r="M216" s="4" t="str">
        <f>VLOOKUP($A216,'Institution Evaluation'!$A$56:$K$345,11,0)&amp;""</f>
        <v>FALSE</v>
      </c>
      <c r="N216" s="4">
        <f>IF($J216='Auto Responses'!$J$11,1,IF(AND($J216="",$I216='Auto Responses'!$J$11),1,0))</f>
        <v>1</v>
      </c>
      <c r="O216" s="107" t="str">
        <f>IF(OR($F$22='Auto Responses'!$J$4,$E216='Auto Responses'!$L$13,$F216='Auto Responses'!$J$5),'Auto Responses'!$J$5,IF($J216="",$K216,IF($J216='Auto Responses'!$J$13,5,IF($J216='Auto Responses'!$J$12,10,IF($J216='Auto Responses'!$J$11,20,0)))))</f>
        <v>N/A</v>
      </c>
      <c r="P216" s="107" t="str">
        <f>IF(OR($O216='Auto Responses'!$J$5,$L216='Auto Responses'!$J$5),'Auto Responses'!$J$5,$O216*$L216)</f>
        <v>N/A</v>
      </c>
      <c r="Q216" s="107">
        <f t="shared" si="21"/>
        <v>0</v>
      </c>
      <c r="R216" s="107">
        <f t="shared" si="26"/>
        <v>0</v>
      </c>
      <c r="S216" s="107">
        <f t="shared" si="22"/>
        <v>0</v>
      </c>
      <c r="T216" s="107">
        <f t="shared" si="23"/>
        <v>1</v>
      </c>
      <c r="U216" s="107">
        <f t="shared" si="27"/>
        <v>60</v>
      </c>
      <c r="V216" s="107">
        <f t="shared" si="24"/>
        <v>60</v>
      </c>
    </row>
    <row r="217" spans="1:22" ht="55.2" x14ac:dyDescent="0.3">
      <c r="A217" s="4" t="str">
        <f>Questions!$A217</f>
        <v>PCID-02</v>
      </c>
      <c r="B217" s="4" t="str">
        <f t="shared" si="25"/>
        <v>PCID</v>
      </c>
      <c r="C217" s="4" t="str">
        <f>VLOOKUP($A217,Questions!$A$3:$L$333,2,0)&amp;""</f>
        <v>Is the application listed as an approved Payment Application Data Security Standard (PA-DSS) application?*</v>
      </c>
      <c r="D217" s="4" t="str">
        <f>VLOOKUP($A217,Questions!$A$3:$L$333,11,0)&amp;""</f>
        <v/>
      </c>
      <c r="E217" s="4" t="str">
        <f>VLOOKUP($A217,Questions!$A$3:$L$333,12,0)&amp;""</f>
        <v>Case-Specific</v>
      </c>
      <c r="F217" s="4" t="str">
        <f>VLOOKUP($A217,'Institution Evaluation'!$A$56:$K$345,3,0)&amp;""</f>
        <v/>
      </c>
      <c r="G217" s="4" t="str">
        <f>VLOOKUP($A217,'Institution Evaluation'!$A$56:$K$345,7,0)&amp;""</f>
        <v>No</v>
      </c>
      <c r="H217" s="4" t="str">
        <f>VLOOKUP($A217,'Institution Evaluation'!$A$56:$K$345,8,0)&amp;""</f>
        <v/>
      </c>
      <c r="I217" s="4" t="str">
        <f>VLOOKUP($A217,'Institution Evaluation'!$A$56:$K$345,9,0)&amp;""</f>
        <v>Critical Importance</v>
      </c>
      <c r="J217" s="4" t="str">
        <f>VLOOKUP($A217,'Institution Evaluation'!$A$56:$K$345,10,0)&amp;""</f>
        <v/>
      </c>
      <c r="K217" s="4">
        <f>IF($I217='Auto Responses'!$J$11,20,IF($I217='Auto Responses'!$J$13,5,10))</f>
        <v>20</v>
      </c>
      <c r="L217" s="107">
        <f>IF($E217='Auto Responses'!$L$13, 'Auto Responses'!$J$5,IF(AND($D217='Auto Responses'!$J$27,$H217=""),'Auto Responses'!$J$5,IF(AND($D217='Auto Responses'!$J$27,$H217='Auto Responses'!$J$7),1,IF(AND($D217='Auto Responses'!$J$27,$H217='Auto Responses'!$J$8),0,IF(OR(AND($F217=$G217,$H217=""),$H217='Auto Responses'!$J$7),1,0)))))</f>
        <v>0</v>
      </c>
      <c r="M217" s="4" t="str">
        <f>VLOOKUP($A217,'Institution Evaluation'!$A$56:$K$345,11,0)&amp;""</f>
        <v>FALSE</v>
      </c>
      <c r="N217" s="4">
        <f>IF($J217='Auto Responses'!$J$11,1,IF(AND($J217="",$I217='Auto Responses'!$J$11),1,0))</f>
        <v>1</v>
      </c>
      <c r="O217" s="107" t="str">
        <f>IF(OR($F$22='Auto Responses'!$J$4,$E217='Auto Responses'!$L$13,$F217='Auto Responses'!$J$5),'Auto Responses'!$J$5,IF($J217="",$K217,IF($J217='Auto Responses'!$J$13,5,IF($J217='Auto Responses'!$J$12,10,IF($J217='Auto Responses'!$J$11,20,0)))))</f>
        <v>N/A</v>
      </c>
      <c r="P217" s="107" t="str">
        <f>IF(OR($O217='Auto Responses'!$J$5,$L217='Auto Responses'!$J$5),'Auto Responses'!$J$5,$O217*$L217)</f>
        <v>N/A</v>
      </c>
      <c r="Q217" s="107">
        <f t="shared" si="21"/>
        <v>0</v>
      </c>
      <c r="R217" s="107">
        <f t="shared" si="26"/>
        <v>0</v>
      </c>
      <c r="S217" s="107">
        <f t="shared" si="22"/>
        <v>0</v>
      </c>
      <c r="T217" s="107">
        <f t="shared" si="23"/>
        <v>1</v>
      </c>
      <c r="U217" s="107">
        <f t="shared" si="27"/>
        <v>61</v>
      </c>
      <c r="V217" s="107">
        <f t="shared" si="24"/>
        <v>61</v>
      </c>
    </row>
    <row r="218" spans="1:22" ht="55.2" x14ac:dyDescent="0.3">
      <c r="A218" s="4" t="str">
        <f>Questions!$A218</f>
        <v>PCID-03</v>
      </c>
      <c r="B218" s="4" t="str">
        <f t="shared" si="25"/>
        <v>PCID</v>
      </c>
      <c r="C218" s="4" t="str">
        <f>VLOOKUP($A218,Questions!$A$3:$L$333,2,0)&amp;""</f>
        <v>Does the system or solutions use a third party to collect, store, process, or transmit cardholder (payment/credit/debt card) data?*</v>
      </c>
      <c r="D218" s="4" t="str">
        <f>VLOOKUP($A218,Questions!$A$3:$L$333,11,0)&amp;""</f>
        <v/>
      </c>
      <c r="E218" s="4" t="str">
        <f>VLOOKUP($A218,Questions!$A$3:$L$333,12,0)&amp;""</f>
        <v>Case-Specific</v>
      </c>
      <c r="F218" s="4" t="str">
        <f>VLOOKUP($A218,'Institution Evaluation'!$A$56:$K$345,3,0)&amp;""</f>
        <v/>
      </c>
      <c r="G218" s="4" t="str">
        <f>VLOOKUP($A218,'Institution Evaluation'!$A$56:$K$345,7,0)&amp;""</f>
        <v>No</v>
      </c>
      <c r="H218" s="4" t="str">
        <f>VLOOKUP($A218,'Institution Evaluation'!$A$56:$K$345,8,0)&amp;""</f>
        <v/>
      </c>
      <c r="I218" s="4" t="str">
        <f>VLOOKUP($A218,'Institution Evaluation'!$A$56:$K$345,9,0)&amp;""</f>
        <v>Critical Importance</v>
      </c>
      <c r="J218" s="4" t="str">
        <f>VLOOKUP($A218,'Institution Evaluation'!$A$56:$K$345,10,0)&amp;""</f>
        <v/>
      </c>
      <c r="K218" s="4">
        <f>IF($I218='Auto Responses'!$J$11,20,IF($I218='Auto Responses'!$J$13,5,10))</f>
        <v>20</v>
      </c>
      <c r="L218" s="107">
        <f>IF($E218='Auto Responses'!$L$13, 'Auto Responses'!$J$5,IF(AND($D218='Auto Responses'!$J$27,$H218=""),'Auto Responses'!$J$5,IF(AND($D218='Auto Responses'!$J$27,$H218='Auto Responses'!$J$7),1,IF(AND($D218='Auto Responses'!$J$27,$H218='Auto Responses'!$J$8),0,IF(OR(AND($F218=$G218,$H218=""),$H218='Auto Responses'!$J$7),1,0)))))</f>
        <v>0</v>
      </c>
      <c r="M218" s="4" t="str">
        <f>VLOOKUP($A218,'Institution Evaluation'!$A$56:$K$345,11,0)&amp;""</f>
        <v>FALSE</v>
      </c>
      <c r="N218" s="4">
        <f>IF($J218='Auto Responses'!$J$11,1,IF(AND($J218="",$I218='Auto Responses'!$J$11),1,0))</f>
        <v>1</v>
      </c>
      <c r="O218" s="107" t="str">
        <f>IF(OR($F$22='Auto Responses'!$J$4,$E218='Auto Responses'!$L$13,$F218='Auto Responses'!$J$5),'Auto Responses'!$J$5,IF($J218="",$K218,IF($J218='Auto Responses'!$J$13,5,IF($J218='Auto Responses'!$J$12,10,IF($J218='Auto Responses'!$J$11,20,0)))))</f>
        <v>N/A</v>
      </c>
      <c r="P218" s="107" t="str">
        <f>IF(OR($O218='Auto Responses'!$J$5,$L218='Auto Responses'!$J$5),'Auto Responses'!$J$5,$O218*$L218)</f>
        <v>N/A</v>
      </c>
      <c r="Q218" s="107">
        <f t="shared" si="21"/>
        <v>0</v>
      </c>
      <c r="R218" s="107">
        <f t="shared" si="26"/>
        <v>0</v>
      </c>
      <c r="S218" s="107">
        <f t="shared" si="22"/>
        <v>0</v>
      </c>
      <c r="T218" s="107">
        <f t="shared" si="23"/>
        <v>1</v>
      </c>
      <c r="U218" s="107">
        <f t="shared" si="27"/>
        <v>62</v>
      </c>
      <c r="V218" s="107">
        <f t="shared" si="24"/>
        <v>62</v>
      </c>
    </row>
    <row r="219" spans="1:22" ht="55.2" x14ac:dyDescent="0.3">
      <c r="A219" s="4" t="str">
        <f>Questions!$A219</f>
        <v>PCID-04</v>
      </c>
      <c r="B219" s="4" t="str">
        <f t="shared" si="25"/>
        <v>PCID</v>
      </c>
      <c r="C219" s="4" t="str">
        <f>VLOOKUP($A219,Questions!$A$3:$L$333,2,0)&amp;""</f>
        <v>Do your systems or solutions store, process, or transmit cardholder (payment/credit/debt card) data?</v>
      </c>
      <c r="D219" s="4" t="str">
        <f>VLOOKUP($A219,Questions!$A$3:$L$333,11,0)&amp;""</f>
        <v/>
      </c>
      <c r="E219" s="4" t="str">
        <f>VLOOKUP($A219,Questions!$A$3:$L$333,12,0)&amp;""</f>
        <v>Case-Specific</v>
      </c>
      <c r="F219" s="4" t="str">
        <f>VLOOKUP($A219,'Institution Evaluation'!$A$56:$K$345,3,0)&amp;""</f>
        <v/>
      </c>
      <c r="G219" s="4" t="str">
        <f>VLOOKUP($A219,'Institution Evaluation'!$A$56:$K$345,7,0)&amp;""</f>
        <v>Yes</v>
      </c>
      <c r="H219" s="4" t="str">
        <f>VLOOKUP($A219,'Institution Evaluation'!$A$56:$K$345,8,0)&amp;""</f>
        <v/>
      </c>
      <c r="I219" s="4" t="str">
        <f>VLOOKUP($A219,'Institution Evaluation'!$A$56:$K$345,9,0)&amp;""</f>
        <v>Standard Importance</v>
      </c>
      <c r="J219" s="4" t="str">
        <f>VLOOKUP($A219,'Institution Evaluation'!$A$56:$K$345,10,0)&amp;""</f>
        <v/>
      </c>
      <c r="K219" s="4">
        <f>IF($I219='Auto Responses'!$J$11,20,IF($I219='Auto Responses'!$J$13,5,10))</f>
        <v>10</v>
      </c>
      <c r="L219" s="107">
        <f>IF($E219='Auto Responses'!$L$13, 'Auto Responses'!$J$5,IF(AND($D219='Auto Responses'!$J$27,$H219=""),'Auto Responses'!$J$5,IF(AND($D219='Auto Responses'!$J$27,$H219='Auto Responses'!$J$7),1,IF(AND($D219='Auto Responses'!$J$27,$H219='Auto Responses'!$J$8),0,IF(OR(AND($F219=$G219,$H219=""),$H219='Auto Responses'!$J$7),1,0)))))</f>
        <v>0</v>
      </c>
      <c r="M219" s="4" t="str">
        <f>VLOOKUP($A219,'Institution Evaluation'!$A$56:$K$345,11,0)&amp;""</f>
        <v>FALSE</v>
      </c>
      <c r="N219" s="4">
        <f>IF($J219='Auto Responses'!$J$11,1,IF(AND($J219="",$I219='Auto Responses'!$J$11),1,0))</f>
        <v>0</v>
      </c>
      <c r="O219" s="107" t="str">
        <f>IF(OR($F$22='Auto Responses'!$J$4,$E219='Auto Responses'!$L$13,$F219='Auto Responses'!$J$5),'Auto Responses'!$J$5,IF($J219="",$K219,IF($J219='Auto Responses'!$J$13,5,IF($J219='Auto Responses'!$J$12,10,IF($J219='Auto Responses'!$J$11,20,0)))))</f>
        <v>N/A</v>
      </c>
      <c r="P219" s="107" t="str">
        <f>IF(OR($O219='Auto Responses'!$J$5,$L219='Auto Responses'!$J$5),'Auto Responses'!$J$5,$O219*$L219)</f>
        <v>N/A</v>
      </c>
      <c r="Q219" s="107">
        <f t="shared" si="21"/>
        <v>0</v>
      </c>
      <c r="R219" s="107">
        <f t="shared" si="26"/>
        <v>0</v>
      </c>
      <c r="S219" s="107">
        <f t="shared" si="22"/>
        <v>0</v>
      </c>
      <c r="T219" s="107">
        <f t="shared" si="23"/>
        <v>0</v>
      </c>
      <c r="U219" s="107">
        <f t="shared" si="27"/>
        <v>62</v>
      </c>
      <c r="V219" s="107">
        <f t="shared" si="24"/>
        <v>0</v>
      </c>
    </row>
    <row r="220" spans="1:22" ht="55.2" x14ac:dyDescent="0.3">
      <c r="A220" s="4" t="str">
        <f>Questions!$A220</f>
        <v>PCID-05</v>
      </c>
      <c r="B220" s="4" t="str">
        <f t="shared" si="25"/>
        <v>PCID</v>
      </c>
      <c r="C220" s="4" t="str">
        <f>VLOOKUP($A220,Questions!$A$3:$L$333,2,0)&amp;""</f>
        <v>Are you compliant with the Payment Card Industry Data Security Standard (PCI DSS)?</v>
      </c>
      <c r="D220" s="4" t="str">
        <f>VLOOKUP($A220,Questions!$A$3:$L$333,11,0)&amp;""</f>
        <v/>
      </c>
      <c r="E220" s="4" t="str">
        <f>VLOOKUP($A220,Questions!$A$3:$L$333,12,0)&amp;""</f>
        <v>Case-Specific</v>
      </c>
      <c r="F220" s="4" t="str">
        <f>VLOOKUP($A220,'Institution Evaluation'!$A$56:$K$345,3,0)&amp;""</f>
        <v/>
      </c>
      <c r="G220" s="4" t="str">
        <f>VLOOKUP($A220,'Institution Evaluation'!$A$56:$K$345,7,0)&amp;""</f>
        <v>Yes</v>
      </c>
      <c r="H220" s="4" t="str">
        <f>VLOOKUP($A220,'Institution Evaluation'!$A$56:$K$345,8,0)&amp;""</f>
        <v/>
      </c>
      <c r="I220" s="4" t="str">
        <f>VLOOKUP($A220,'Institution Evaluation'!$A$56:$K$345,9,0)&amp;""</f>
        <v>Standard Importance</v>
      </c>
      <c r="J220" s="4" t="str">
        <f>VLOOKUP($A220,'Institution Evaluation'!$A$56:$K$345,10,0)&amp;""</f>
        <v/>
      </c>
      <c r="K220" s="4">
        <f>IF($I220='Auto Responses'!$J$11,20,IF($I220='Auto Responses'!$J$13,5,10))</f>
        <v>10</v>
      </c>
      <c r="L220" s="107">
        <f>IF($E220='Auto Responses'!$L$13, 'Auto Responses'!$J$5,IF(AND($D220='Auto Responses'!$J$27,$H220=""),'Auto Responses'!$J$5,IF(AND($D220='Auto Responses'!$J$27,$H220='Auto Responses'!$J$7),1,IF(AND($D220='Auto Responses'!$J$27,$H220='Auto Responses'!$J$8),0,IF(OR(AND($F220=$G220,$H220=""),$H220='Auto Responses'!$J$7),1,0)))))</f>
        <v>0</v>
      </c>
      <c r="M220" s="4" t="str">
        <f>VLOOKUP($A220,'Institution Evaluation'!$A$56:$K$345,11,0)&amp;""</f>
        <v>FALSE</v>
      </c>
      <c r="N220" s="4">
        <f>IF($J220='Auto Responses'!$J$11,1,IF(AND($J220="",$I220='Auto Responses'!$J$11),1,0))</f>
        <v>0</v>
      </c>
      <c r="O220" s="107" t="str">
        <f>IF(OR($F$22='Auto Responses'!$J$4,$E220='Auto Responses'!$L$13,$F220='Auto Responses'!$J$5),'Auto Responses'!$J$5,IF($J220="",$K220,IF($J220='Auto Responses'!$J$13,5,IF($J220='Auto Responses'!$J$12,10,IF($J220='Auto Responses'!$J$11,20,0)))))</f>
        <v>N/A</v>
      </c>
      <c r="P220" s="107" t="str">
        <f>IF(OR($O220='Auto Responses'!$J$5,$L220='Auto Responses'!$J$5),'Auto Responses'!$J$5,$O220*$L220)</f>
        <v>N/A</v>
      </c>
      <c r="Q220" s="107">
        <f t="shared" si="21"/>
        <v>0</v>
      </c>
      <c r="R220" s="107">
        <f t="shared" si="26"/>
        <v>0</v>
      </c>
      <c r="S220" s="107">
        <f t="shared" si="22"/>
        <v>0</v>
      </c>
      <c r="T220" s="107">
        <f t="shared" si="23"/>
        <v>0</v>
      </c>
      <c r="U220" s="107">
        <f t="shared" si="27"/>
        <v>62</v>
      </c>
      <c r="V220" s="107">
        <f t="shared" si="24"/>
        <v>0</v>
      </c>
    </row>
    <row r="221" spans="1:22" ht="55.2" x14ac:dyDescent="0.3">
      <c r="A221" s="4" t="str">
        <f>Questions!$A221</f>
        <v>PCID-06</v>
      </c>
      <c r="B221" s="4" t="str">
        <f t="shared" si="25"/>
        <v>PCID</v>
      </c>
      <c r="C221" s="4" t="str">
        <f>VLOOKUP($A221,Questions!$A$3:$L$333,2,0)&amp;""</f>
        <v>Are you classified as a service provider?</v>
      </c>
      <c r="D221" s="4" t="str">
        <f>VLOOKUP($A221,Questions!$A$3:$L$333,11,0)&amp;""</f>
        <v/>
      </c>
      <c r="E221" s="4" t="str">
        <f>VLOOKUP($A221,Questions!$A$3:$L$333,12,0)&amp;""</f>
        <v>Case-Specific</v>
      </c>
      <c r="F221" s="4" t="str">
        <f>VLOOKUP($A221,'Institution Evaluation'!$A$56:$K$345,3,0)&amp;""</f>
        <v/>
      </c>
      <c r="G221" s="4" t="str">
        <f>VLOOKUP($A221,'Institution Evaluation'!$A$56:$K$345,7,0)&amp;""</f>
        <v>Yes</v>
      </c>
      <c r="H221" s="4" t="str">
        <f>VLOOKUP($A221,'Institution Evaluation'!$A$56:$K$345,8,0)&amp;""</f>
        <v/>
      </c>
      <c r="I221" s="4" t="str">
        <f>VLOOKUP($A221,'Institution Evaluation'!$A$56:$K$345,9,0)&amp;""</f>
        <v>Standard Importance</v>
      </c>
      <c r="J221" s="4" t="str">
        <f>VLOOKUP($A221,'Institution Evaluation'!$A$56:$K$345,10,0)&amp;""</f>
        <v/>
      </c>
      <c r="K221" s="4">
        <f>IF($I221='Auto Responses'!$J$11,20,IF($I221='Auto Responses'!$J$13,5,10))</f>
        <v>10</v>
      </c>
      <c r="L221" s="107">
        <f>IF($E221='Auto Responses'!$L$13, 'Auto Responses'!$J$5,IF(AND($D221='Auto Responses'!$J$27,$H221=""),'Auto Responses'!$J$5,IF(AND($D221='Auto Responses'!$J$27,$H221='Auto Responses'!$J$7),1,IF(AND($D221='Auto Responses'!$J$27,$H221='Auto Responses'!$J$8),0,IF(OR(AND($F221=$G221,$H221=""),$H221='Auto Responses'!$J$7),1,0)))))</f>
        <v>0</v>
      </c>
      <c r="M221" s="4" t="str">
        <f>VLOOKUP($A221,'Institution Evaluation'!$A$56:$K$345,11,0)&amp;""</f>
        <v>FALSE</v>
      </c>
      <c r="N221" s="4">
        <f>IF($J221='Auto Responses'!$J$11,1,IF(AND($J221="",$I221='Auto Responses'!$J$11),1,0))</f>
        <v>0</v>
      </c>
      <c r="O221" s="107" t="str">
        <f>IF(OR($F$22='Auto Responses'!$J$4,$E221='Auto Responses'!$L$13,$F221='Auto Responses'!$J$5),'Auto Responses'!$J$5,IF($J221="",$K221,IF($J221='Auto Responses'!$J$13,5,IF($J221='Auto Responses'!$J$12,10,IF($J221='Auto Responses'!$J$11,20,0)))))</f>
        <v>N/A</v>
      </c>
      <c r="P221" s="107" t="str">
        <f>IF(OR($O221='Auto Responses'!$J$5,$L221='Auto Responses'!$J$5),'Auto Responses'!$J$5,$O221*$L221)</f>
        <v>N/A</v>
      </c>
      <c r="Q221" s="107">
        <f t="shared" si="21"/>
        <v>0</v>
      </c>
      <c r="R221" s="107">
        <f t="shared" si="26"/>
        <v>0</v>
      </c>
      <c r="S221" s="107">
        <f t="shared" si="22"/>
        <v>0</v>
      </c>
      <c r="T221" s="107">
        <f t="shared" si="23"/>
        <v>0</v>
      </c>
      <c r="U221" s="107">
        <f t="shared" si="27"/>
        <v>62</v>
      </c>
      <c r="V221" s="107">
        <f t="shared" si="24"/>
        <v>0</v>
      </c>
    </row>
    <row r="222" spans="1:22" ht="55.2" x14ac:dyDescent="0.3">
      <c r="A222" s="4" t="str">
        <f>Questions!$A222</f>
        <v>PCID-07</v>
      </c>
      <c r="B222" s="4" t="str">
        <f t="shared" si="25"/>
        <v>PCID</v>
      </c>
      <c r="C222" s="4" t="str">
        <f>VLOOKUP($A222,Questions!$A$3:$L$333,2,0)&amp;""</f>
        <v>Are you on the list of Visa approved service providers?</v>
      </c>
      <c r="D222" s="4" t="str">
        <f>VLOOKUP($A222,Questions!$A$3:$L$333,11,0)&amp;""</f>
        <v/>
      </c>
      <c r="E222" s="4" t="str">
        <f>VLOOKUP($A222,Questions!$A$3:$L$333,12,0)&amp;""</f>
        <v>Case-Specific</v>
      </c>
      <c r="F222" s="4" t="str">
        <f>VLOOKUP($A222,'Institution Evaluation'!$A$56:$K$345,3,0)&amp;""</f>
        <v/>
      </c>
      <c r="G222" s="4" t="str">
        <f>VLOOKUP($A222,'Institution Evaluation'!$A$56:$K$345,7,0)&amp;""</f>
        <v>Yes</v>
      </c>
      <c r="H222" s="4" t="str">
        <f>VLOOKUP($A222,'Institution Evaluation'!$A$56:$K$345,8,0)&amp;""</f>
        <v/>
      </c>
      <c r="I222" s="4" t="str">
        <f>VLOOKUP($A222,'Institution Evaluation'!$A$56:$K$345,9,0)&amp;""</f>
        <v>Standard Importance</v>
      </c>
      <c r="J222" s="4" t="str">
        <f>VLOOKUP($A222,'Institution Evaluation'!$A$56:$K$345,10,0)&amp;""</f>
        <v/>
      </c>
      <c r="K222" s="4">
        <f>IF($I222='Auto Responses'!$J$11,20,IF($I222='Auto Responses'!$J$13,5,10))</f>
        <v>10</v>
      </c>
      <c r="L222" s="107">
        <f>IF($E222='Auto Responses'!$L$13, 'Auto Responses'!$J$5,IF(AND($D222='Auto Responses'!$J$27,$H222=""),'Auto Responses'!$J$5,IF(AND($D222='Auto Responses'!$J$27,$H222='Auto Responses'!$J$7),1,IF(AND($D222='Auto Responses'!$J$27,$H222='Auto Responses'!$J$8),0,IF(OR(AND($F222=$G222,$H222=""),$H222='Auto Responses'!$J$7),1,0)))))</f>
        <v>0</v>
      </c>
      <c r="M222" s="4" t="str">
        <f>VLOOKUP($A222,'Institution Evaluation'!$A$56:$K$345,11,0)&amp;""</f>
        <v>FALSE</v>
      </c>
      <c r="N222" s="4">
        <f>IF($J222='Auto Responses'!$J$11,1,IF(AND($J222="",$I222='Auto Responses'!$J$11),1,0))</f>
        <v>0</v>
      </c>
      <c r="O222" s="107" t="str">
        <f>IF(OR($F$22='Auto Responses'!$J$4,$E222='Auto Responses'!$L$13,$F222='Auto Responses'!$J$5),'Auto Responses'!$J$5,IF($J222="",$K222,IF($J222='Auto Responses'!$J$13,5,IF($J222='Auto Responses'!$J$12,10,IF($J222='Auto Responses'!$J$11,20,0)))))</f>
        <v>N/A</v>
      </c>
      <c r="P222" s="107" t="str">
        <f>IF(OR($O222='Auto Responses'!$J$5,$L222='Auto Responses'!$J$5),'Auto Responses'!$J$5,$O222*$L222)</f>
        <v>N/A</v>
      </c>
      <c r="Q222" s="107">
        <f t="shared" si="21"/>
        <v>0</v>
      </c>
      <c r="R222" s="107">
        <f t="shared" si="26"/>
        <v>0</v>
      </c>
      <c r="S222" s="107">
        <f t="shared" si="22"/>
        <v>0</v>
      </c>
      <c r="T222" s="107">
        <f t="shared" si="23"/>
        <v>0</v>
      </c>
      <c r="U222" s="107">
        <f t="shared" si="27"/>
        <v>62</v>
      </c>
      <c r="V222" s="107">
        <f t="shared" si="24"/>
        <v>0</v>
      </c>
    </row>
    <row r="223" spans="1:22" ht="55.2" x14ac:dyDescent="0.3">
      <c r="A223" s="4" t="str">
        <f>Questions!$A223</f>
        <v>PCID-08</v>
      </c>
      <c r="B223" s="4" t="str">
        <f t="shared" si="25"/>
        <v>PCID</v>
      </c>
      <c r="C223" s="4" t="str">
        <f>VLOOKUP($A223,Questions!$A$3:$L$333,2,0)&amp;""</f>
        <v>Are you classified as a merchant? If so, what level (1, 2, 3, 4)?</v>
      </c>
      <c r="D223" s="4" t="str">
        <f>VLOOKUP($A223,Questions!$A$3:$L$333,11,0)&amp;""</f>
        <v/>
      </c>
      <c r="E223" s="4" t="str">
        <f>VLOOKUP($A223,Questions!$A$3:$L$333,12,0)&amp;""</f>
        <v>Case-Specific</v>
      </c>
      <c r="F223" s="4" t="str">
        <f>VLOOKUP($A223,'Institution Evaluation'!$A$56:$K$345,3,0)&amp;""</f>
        <v/>
      </c>
      <c r="G223" s="4" t="str">
        <f>VLOOKUP($A223,'Institution Evaluation'!$A$56:$K$345,7,0)&amp;""</f>
        <v>Yes</v>
      </c>
      <c r="H223" s="4" t="str">
        <f>VLOOKUP($A223,'Institution Evaluation'!$A$56:$K$345,8,0)&amp;""</f>
        <v/>
      </c>
      <c r="I223" s="4" t="str">
        <f>VLOOKUP($A223,'Institution Evaluation'!$A$56:$K$345,9,0)&amp;""</f>
        <v>Standard Importance</v>
      </c>
      <c r="J223" s="4" t="str">
        <f>VLOOKUP($A223,'Institution Evaluation'!$A$56:$K$345,10,0)&amp;""</f>
        <v/>
      </c>
      <c r="K223" s="4">
        <f>IF($I223='Auto Responses'!$J$11,20,IF($I223='Auto Responses'!$J$13,5,10))</f>
        <v>10</v>
      </c>
      <c r="L223" s="107">
        <f>IF($E223='Auto Responses'!$L$13, 'Auto Responses'!$J$5,IF(AND($D223='Auto Responses'!$J$27,$H223=""),'Auto Responses'!$J$5,IF(AND($D223='Auto Responses'!$J$27,$H223='Auto Responses'!$J$7),1,IF(AND($D223='Auto Responses'!$J$27,$H223='Auto Responses'!$J$8),0,IF(OR(AND($F223=$G223,$H223=""),$H223='Auto Responses'!$J$7),1,0)))))</f>
        <v>0</v>
      </c>
      <c r="M223" s="4" t="str">
        <f>VLOOKUP($A223,'Institution Evaluation'!$A$56:$K$345,11,0)&amp;""</f>
        <v>FALSE</v>
      </c>
      <c r="N223" s="4">
        <f>IF($J223='Auto Responses'!$J$11,1,IF(AND($J223="",$I223='Auto Responses'!$J$11),1,0))</f>
        <v>0</v>
      </c>
      <c r="O223" s="107" t="str">
        <f>IF(OR($F$22='Auto Responses'!$J$4,$E223='Auto Responses'!$L$13,$F223='Auto Responses'!$J$5),'Auto Responses'!$J$5,IF($J223="",$K223,IF($J223='Auto Responses'!$J$13,5,IF($J223='Auto Responses'!$J$12,10,IF($J223='Auto Responses'!$J$11,20,0)))))</f>
        <v>N/A</v>
      </c>
      <c r="P223" s="107" t="str">
        <f>IF(OR($O223='Auto Responses'!$J$5,$L223='Auto Responses'!$J$5),'Auto Responses'!$J$5,$O223*$L223)</f>
        <v>N/A</v>
      </c>
      <c r="Q223" s="107">
        <f t="shared" si="21"/>
        <v>0</v>
      </c>
      <c r="R223" s="107">
        <f t="shared" si="26"/>
        <v>0</v>
      </c>
      <c r="S223" s="107">
        <f t="shared" si="22"/>
        <v>0</v>
      </c>
      <c r="T223" s="107">
        <f t="shared" si="23"/>
        <v>0</v>
      </c>
      <c r="U223" s="107">
        <f t="shared" si="27"/>
        <v>62</v>
      </c>
      <c r="V223" s="107">
        <f t="shared" si="24"/>
        <v>0</v>
      </c>
    </row>
    <row r="224" spans="1:22" ht="55.2" x14ac:dyDescent="0.3">
      <c r="A224" s="4" t="str">
        <f>Questions!$A224</f>
        <v>PCID-09</v>
      </c>
      <c r="B224" s="4" t="str">
        <f t="shared" si="25"/>
        <v>PCID</v>
      </c>
      <c r="C224" s="4" t="str">
        <f>VLOOKUP($A224,Questions!$A$3:$L$333,2,0)&amp;""</f>
        <v>Describe the architecture employed by the system to verify and authorize credit card transactions.</v>
      </c>
      <c r="D224" s="4" t="str">
        <f>VLOOKUP($A224,Questions!$A$3:$L$333,11,0)&amp;""</f>
        <v/>
      </c>
      <c r="E224" s="4" t="str">
        <f>VLOOKUP($A224,Questions!$A$3:$L$333,12,0)&amp;""</f>
        <v>Not scored</v>
      </c>
      <c r="F224" s="4" t="str">
        <f>VLOOKUP($A224,'Institution Evaluation'!$A$56:$K$345,3,0)&amp;""</f>
        <v/>
      </c>
      <c r="G224" s="4" t="str">
        <f>VLOOKUP($A224,'Institution Evaluation'!$A$56:$K$345,7,0)&amp;""</f>
        <v>Not scored</v>
      </c>
      <c r="H224" s="4" t="str">
        <f>VLOOKUP($A224,'Institution Evaluation'!$A$56:$K$345,8,0)&amp;""</f>
        <v/>
      </c>
      <c r="I224" s="4" t="str">
        <f>VLOOKUP($A224,'Institution Evaluation'!$A$56:$K$345,9,0)&amp;""</f>
        <v/>
      </c>
      <c r="J224" s="4" t="str">
        <f>VLOOKUP($A224,'Institution Evaluation'!$A$56:$K$345,10,0)&amp;""</f>
        <v/>
      </c>
      <c r="K224" s="4">
        <f>IF($I224='Auto Responses'!$J$11,20,IF($I224='Auto Responses'!$J$13,5,10))</f>
        <v>10</v>
      </c>
      <c r="L224" s="107" t="str">
        <f>IF($E224='Auto Responses'!$L$13, 'Auto Responses'!$J$5,IF(AND($D224='Auto Responses'!$J$27,$H224=""),'Auto Responses'!$J$5,IF(AND($D224='Auto Responses'!$J$27,$H224='Auto Responses'!$J$7),1,IF(AND($D224='Auto Responses'!$J$27,$H224='Auto Responses'!$J$8),0,IF(OR(AND($F224=$G224,$H224=""),$H224='Auto Responses'!$J$7),1,0)))))</f>
        <v>N/A</v>
      </c>
      <c r="M224" s="4" t="str">
        <f>VLOOKUP($A224,'Institution Evaluation'!$A$56:$K$345,11,0)&amp;""</f>
        <v>FALSE</v>
      </c>
      <c r="N224" s="4">
        <f>IF($J224='Auto Responses'!$J$11,1,IF(AND($J224="",$I224='Auto Responses'!$J$11),1,0))</f>
        <v>0</v>
      </c>
      <c r="O224" s="107" t="str">
        <f>IF(OR($F$22='Auto Responses'!$J$4,$E224='Auto Responses'!$L$13,$F224='Auto Responses'!$J$5),'Auto Responses'!$J$5,IF($J224="",$K224,IF($J224='Auto Responses'!$J$13,5,IF($J224='Auto Responses'!$J$12,10,IF($J224='Auto Responses'!$J$11,20,0)))))</f>
        <v>N/A</v>
      </c>
      <c r="P224" s="107" t="str">
        <f>IF(OR($O224='Auto Responses'!$J$5,$L224='Auto Responses'!$J$5),'Auto Responses'!$J$5,$O224*$L224)</f>
        <v>N/A</v>
      </c>
      <c r="Q224" s="107">
        <f t="shared" si="21"/>
        <v>0</v>
      </c>
      <c r="R224" s="107">
        <f t="shared" si="26"/>
        <v>0</v>
      </c>
      <c r="S224" s="107">
        <f t="shared" si="22"/>
        <v>0</v>
      </c>
      <c r="T224" s="107">
        <f t="shared" si="23"/>
        <v>0</v>
      </c>
      <c r="U224" s="107">
        <f t="shared" si="27"/>
        <v>62</v>
      </c>
      <c r="V224" s="107">
        <f t="shared" si="24"/>
        <v>0</v>
      </c>
    </row>
    <row r="225" spans="1:22" ht="55.2" x14ac:dyDescent="0.3">
      <c r="A225" s="4" t="str">
        <f>Questions!$A225</f>
        <v>PCID-10</v>
      </c>
      <c r="B225" s="4" t="str">
        <f t="shared" si="25"/>
        <v>PCID</v>
      </c>
      <c r="C225" s="4" t="str">
        <f>VLOOKUP($A225,Questions!$A$3:$L$333,2,0)&amp;""</f>
        <v>What payment processors/gateways does the system support?</v>
      </c>
      <c r="D225" s="4" t="str">
        <f>VLOOKUP($A225,Questions!$A$3:$L$333,11,0)&amp;""</f>
        <v/>
      </c>
      <c r="E225" s="4" t="str">
        <f>VLOOKUP($A225,Questions!$A$3:$L$333,12,0)&amp;""</f>
        <v>Not scored</v>
      </c>
      <c r="F225" s="4" t="str">
        <f>VLOOKUP($A225,'Institution Evaluation'!$A$56:$K$345,3,0)&amp;""</f>
        <v/>
      </c>
      <c r="G225" s="4" t="str">
        <f>VLOOKUP($A225,'Institution Evaluation'!$A$56:$K$345,7,0)&amp;""</f>
        <v>Not scored</v>
      </c>
      <c r="H225" s="4" t="str">
        <f>VLOOKUP($A225,'Institution Evaluation'!$A$56:$K$345,8,0)&amp;""</f>
        <v/>
      </c>
      <c r="I225" s="4" t="str">
        <f>VLOOKUP($A225,'Institution Evaluation'!$A$56:$K$345,9,0)&amp;""</f>
        <v/>
      </c>
      <c r="J225" s="4" t="str">
        <f>VLOOKUP($A225,'Institution Evaluation'!$A$56:$K$345,10,0)&amp;""</f>
        <v/>
      </c>
      <c r="K225" s="4">
        <f>IF($I225='Auto Responses'!$J$11,20,IF($I225='Auto Responses'!$J$13,5,10))</f>
        <v>10</v>
      </c>
      <c r="L225" s="107" t="str">
        <f>IF($E225='Auto Responses'!$L$13, 'Auto Responses'!$J$5,IF(AND($D225='Auto Responses'!$J$27,$H225=""),'Auto Responses'!$J$5,IF(AND($D225='Auto Responses'!$J$27,$H225='Auto Responses'!$J$7),1,IF(AND($D225='Auto Responses'!$J$27,$H225='Auto Responses'!$J$8),0,IF(OR(AND($F225=$G225,$H225=""),$H225='Auto Responses'!$J$7),1,0)))))</f>
        <v>N/A</v>
      </c>
      <c r="M225" s="4" t="str">
        <f>VLOOKUP($A225,'Institution Evaluation'!$A$56:$K$345,11,0)&amp;""</f>
        <v>FALSE</v>
      </c>
      <c r="N225" s="4">
        <f>IF($J225='Auto Responses'!$J$11,1,IF(AND($J225="",$I225='Auto Responses'!$J$11),1,0))</f>
        <v>0</v>
      </c>
      <c r="O225" s="107" t="str">
        <f>IF(OR($F$22='Auto Responses'!$J$4,$E225='Auto Responses'!$L$13,$F225='Auto Responses'!$J$5),'Auto Responses'!$J$5,IF($J225="",$K225,IF($J225='Auto Responses'!$J$13,5,IF($J225='Auto Responses'!$J$12,10,IF($J225='Auto Responses'!$J$11,20,0)))))</f>
        <v>N/A</v>
      </c>
      <c r="P225" s="107" t="str">
        <f>IF(OR($O225='Auto Responses'!$J$5,$L225='Auto Responses'!$J$5),'Auto Responses'!$J$5,$O225*$L225)</f>
        <v>N/A</v>
      </c>
      <c r="Q225" s="107">
        <f t="shared" si="21"/>
        <v>0</v>
      </c>
      <c r="R225" s="107">
        <f t="shared" si="26"/>
        <v>0</v>
      </c>
      <c r="S225" s="107">
        <f t="shared" si="22"/>
        <v>0</v>
      </c>
      <c r="T225" s="107">
        <f t="shared" si="23"/>
        <v>0</v>
      </c>
      <c r="U225" s="107">
        <f t="shared" si="27"/>
        <v>62</v>
      </c>
      <c r="V225" s="107">
        <f t="shared" si="24"/>
        <v>0</v>
      </c>
    </row>
    <row r="226" spans="1:22" ht="55.2" x14ac:dyDescent="0.3">
      <c r="A226" s="4" t="str">
        <f>Questions!$A226</f>
        <v>PCID-11</v>
      </c>
      <c r="B226" s="4" t="str">
        <f t="shared" si="25"/>
        <v>PCID</v>
      </c>
      <c r="C226" s="4" t="str">
        <f>VLOOKUP($A226,Questions!$A$3:$L$333,2,0)&amp;""</f>
        <v>Can the application be installed in a PCI DSS–compliant manner?</v>
      </c>
      <c r="D226" s="4" t="str">
        <f>VLOOKUP($A226,Questions!$A$3:$L$333,11,0)&amp;""</f>
        <v/>
      </c>
      <c r="E226" s="4" t="str">
        <f>VLOOKUP($A226,Questions!$A$3:$L$333,12,0)&amp;""</f>
        <v>Case-Specific</v>
      </c>
      <c r="F226" s="4" t="str">
        <f>VLOOKUP($A226,'Institution Evaluation'!$A$56:$K$345,3,0)&amp;""</f>
        <v/>
      </c>
      <c r="G226" s="4" t="str">
        <f>VLOOKUP($A226,'Institution Evaluation'!$A$56:$K$345,7,0)&amp;""</f>
        <v>Yes</v>
      </c>
      <c r="H226" s="4" t="str">
        <f>VLOOKUP($A226,'Institution Evaluation'!$A$56:$K$345,8,0)&amp;""</f>
        <v/>
      </c>
      <c r="I226" s="4" t="str">
        <f>VLOOKUP($A226,'Institution Evaluation'!$A$56:$K$345,9,0)&amp;""</f>
        <v>Minor Importance</v>
      </c>
      <c r="J226" s="4" t="str">
        <f>VLOOKUP($A226,'Institution Evaluation'!$A$56:$K$345,10,0)&amp;""</f>
        <v/>
      </c>
      <c r="K226" s="4">
        <f>IF($I226='Auto Responses'!$J$11,20,IF($I226='Auto Responses'!$J$13,5,10))</f>
        <v>5</v>
      </c>
      <c r="L226" s="107">
        <f>IF($E226='Auto Responses'!$L$13, 'Auto Responses'!$J$5,IF(AND($D226='Auto Responses'!$J$27,$H226=""),'Auto Responses'!$J$5,IF(AND($D226='Auto Responses'!$J$27,$H226='Auto Responses'!$J$7),1,IF(AND($D226='Auto Responses'!$J$27,$H226='Auto Responses'!$J$8),0,IF(OR(AND($F226=$G226,$H226=""),$H226='Auto Responses'!$J$7),1,0)))))</f>
        <v>0</v>
      </c>
      <c r="M226" s="4" t="str">
        <f>VLOOKUP($A226,'Institution Evaluation'!$A$56:$K$345,11,0)&amp;""</f>
        <v>FALSE</v>
      </c>
      <c r="N226" s="4">
        <f>IF($J226='Auto Responses'!$J$11,1,IF(AND($J226="",$I226='Auto Responses'!$J$11),1,0))</f>
        <v>0</v>
      </c>
      <c r="O226" s="107" t="str">
        <f>IF(OR($F$22='Auto Responses'!$J$4,$E226='Auto Responses'!$L$13,$F226='Auto Responses'!$J$5),'Auto Responses'!$J$5,IF($J226="",$K226,IF($J226='Auto Responses'!$J$13,5,IF($J226='Auto Responses'!$J$12,10,IF($J226='Auto Responses'!$J$11,20,0)))))</f>
        <v>N/A</v>
      </c>
      <c r="P226" s="107" t="str">
        <f>IF(OR($O226='Auto Responses'!$J$5,$L226='Auto Responses'!$J$5),'Auto Responses'!$J$5,$O226*$L226)</f>
        <v>N/A</v>
      </c>
      <c r="Q226" s="107">
        <f t="shared" si="21"/>
        <v>0</v>
      </c>
      <c r="R226" s="107">
        <f t="shared" si="26"/>
        <v>0</v>
      </c>
      <c r="S226" s="107">
        <f t="shared" si="22"/>
        <v>0</v>
      </c>
      <c r="T226" s="107">
        <f t="shared" si="23"/>
        <v>0</v>
      </c>
      <c r="U226" s="107">
        <f t="shared" si="27"/>
        <v>62</v>
      </c>
      <c r="V226" s="107">
        <f t="shared" si="24"/>
        <v>0</v>
      </c>
    </row>
    <row r="227" spans="1:22" ht="69" x14ac:dyDescent="0.3">
      <c r="A227" s="4" t="str">
        <f>Questions!$A227</f>
        <v>PCID-12</v>
      </c>
      <c r="B227" s="4" t="str">
        <f t="shared" si="25"/>
        <v>PCID</v>
      </c>
      <c r="C227" s="4" t="str">
        <f>VLOOKUP($A227,Questions!$A$3:$L$333,2,0)&amp;""</f>
        <v>Include documentation describing the system's abilities to comply with the PCI DSS and any features or capabilities of the system that must be added or changed in order to operate in compliance with the standards.</v>
      </c>
      <c r="D227" s="4" t="str">
        <f>VLOOKUP($A227,Questions!$A$3:$L$333,11,0)&amp;""</f>
        <v/>
      </c>
      <c r="E227" s="4" t="str">
        <f>VLOOKUP($A227,Questions!$A$3:$L$333,12,0)&amp;""</f>
        <v>Not scored</v>
      </c>
      <c r="F227" s="4" t="str">
        <f>VLOOKUP($A227,'Institution Evaluation'!$A$56:$K$345,3,0)&amp;""</f>
        <v/>
      </c>
      <c r="G227" s="4" t="str">
        <f>VLOOKUP($A227,'Institution Evaluation'!$A$56:$K$345,7,0)&amp;""</f>
        <v>Not scored</v>
      </c>
      <c r="H227" s="4" t="str">
        <f>VLOOKUP($A227,'Institution Evaluation'!$A$56:$K$345,8,0)&amp;""</f>
        <v/>
      </c>
      <c r="I227" s="4" t="str">
        <f>VLOOKUP($A227,'Institution Evaluation'!$A$56:$K$345,9,0)&amp;""</f>
        <v/>
      </c>
      <c r="J227" s="4" t="str">
        <f>VLOOKUP($A227,'Institution Evaluation'!$A$56:$K$345,10,0)&amp;""</f>
        <v/>
      </c>
      <c r="K227" s="4">
        <f>IF($I227='Auto Responses'!$J$11,20,IF($I227='Auto Responses'!$J$13,5,10))</f>
        <v>10</v>
      </c>
      <c r="L227" s="107" t="str">
        <f>IF($E227='Auto Responses'!$L$13, 'Auto Responses'!$J$5,IF(AND($D227='Auto Responses'!$J$27,$H227=""),'Auto Responses'!$J$5,IF(AND($D227='Auto Responses'!$J$27,$H227='Auto Responses'!$J$7),1,IF(AND($D227='Auto Responses'!$J$27,$H227='Auto Responses'!$J$8),0,IF(OR(AND($F227=$G227,$H227=""),$H227='Auto Responses'!$J$7),1,0)))))</f>
        <v>N/A</v>
      </c>
      <c r="M227" s="4" t="str">
        <f>VLOOKUP($A227,'Institution Evaluation'!$A$56:$K$345,11,0)&amp;""</f>
        <v>FALSE</v>
      </c>
      <c r="N227" s="4">
        <f>IF($J227='Auto Responses'!$J$11,1,IF(AND($J227="",$I227='Auto Responses'!$J$11),1,0))</f>
        <v>0</v>
      </c>
      <c r="O227" s="107" t="str">
        <f>IF(OR($F$22='Auto Responses'!$J$4,$E227='Auto Responses'!$L$13,$F227='Auto Responses'!$J$5),'Auto Responses'!$J$5,IF($J227="",$K227,IF($J227='Auto Responses'!$J$13,5,IF($J227='Auto Responses'!$J$12,10,IF($J227='Auto Responses'!$J$11,20,0)))))</f>
        <v>N/A</v>
      </c>
      <c r="P227" s="107" t="str">
        <f>IF(OR($O227='Auto Responses'!$J$5,$L227='Auto Responses'!$J$5),'Auto Responses'!$J$5,$O227*$L227)</f>
        <v>N/A</v>
      </c>
      <c r="Q227" s="107">
        <f t="shared" si="21"/>
        <v>0</v>
      </c>
      <c r="R227" s="107">
        <f t="shared" si="26"/>
        <v>0</v>
      </c>
      <c r="S227" s="107">
        <f t="shared" si="22"/>
        <v>0</v>
      </c>
      <c r="T227" s="107">
        <f t="shared" si="23"/>
        <v>0</v>
      </c>
      <c r="U227" s="107">
        <f t="shared" si="27"/>
        <v>62</v>
      </c>
      <c r="V227" s="107">
        <f t="shared" si="24"/>
        <v>0</v>
      </c>
    </row>
    <row r="228" spans="1:22" ht="55.2" x14ac:dyDescent="0.3">
      <c r="A228" s="4" t="str">
        <f>Questions!$A228</f>
        <v>OPEM-01</v>
      </c>
      <c r="B228" s="4" t="str">
        <f t="shared" si="25"/>
        <v>OPEM</v>
      </c>
      <c r="C228" s="4" t="str">
        <f>VLOOKUP($A228,Questions!$A$3:$L$333,2,0)&amp;""</f>
        <v>Do you support role-based access control (RBAC) for system administrators?</v>
      </c>
      <c r="D228" s="4" t="str">
        <f>VLOOKUP($A228,Questions!$A$3:$L$333,11,0)&amp;""</f>
        <v/>
      </c>
      <c r="E228" s="4" t="str">
        <f>VLOOKUP($A228,Questions!$A$3:$L$333,12,0)&amp;""</f>
        <v>Case-Specific</v>
      </c>
      <c r="F228" s="4" t="str">
        <f>VLOOKUP($A228,'Institution Evaluation'!$A$56:$K$345,3,0)&amp;""</f>
        <v/>
      </c>
      <c r="G228" s="4" t="str">
        <f>VLOOKUP($A228,'Institution Evaluation'!$A$56:$K$345,7,0)&amp;""</f>
        <v>Yes</v>
      </c>
      <c r="H228" s="4" t="str">
        <f>VLOOKUP($A228,'Institution Evaluation'!$A$56:$K$345,8,0)&amp;""</f>
        <v/>
      </c>
      <c r="I228" s="4" t="str">
        <f>VLOOKUP($A228,'Institution Evaluation'!$A$56:$K$345,9,0)&amp;""</f>
        <v>Standard Importance</v>
      </c>
      <c r="J228" s="4" t="str">
        <f>VLOOKUP($A228,'Institution Evaluation'!$A$56:$K$345,10,0)&amp;""</f>
        <v/>
      </c>
      <c r="K228" s="4">
        <f>IF($I228='Auto Responses'!$J$11,20,IF($I228='Auto Responses'!$J$13,5,10))</f>
        <v>10</v>
      </c>
      <c r="L228" s="107">
        <f>IF($E228='Auto Responses'!$L$13, 'Auto Responses'!$J$5,IF(AND($D228='Auto Responses'!$J$27,$H228=""),'Auto Responses'!$J$5,IF(AND($D228='Auto Responses'!$J$27,$H228='Auto Responses'!$J$7),1,IF(AND($D228='Auto Responses'!$J$27,$H228='Auto Responses'!$J$8),0,IF(OR(AND($F228=$G228,$H228=""),$H228='Auto Responses'!$J$7),1,0)))))</f>
        <v>0</v>
      </c>
      <c r="M228" s="4" t="str">
        <f>VLOOKUP($A228,'Institution Evaluation'!$A$56:$K$345,11,0)&amp;""</f>
        <v>FALSE</v>
      </c>
      <c r="N228" s="4">
        <f>IF($J228='Auto Responses'!$J$11,1,IF(AND($J228="",$I228='Auto Responses'!$J$11),1,0))</f>
        <v>0</v>
      </c>
      <c r="O228" s="107" t="str">
        <f>IF(OR($F$23='Auto Responses'!$J$4,$E228='Auto Responses'!$L$13,$F228='Auto Responses'!$J$5),'Auto Responses'!$J$5,IF($J228="",$K228,IF($J228='Auto Responses'!$J$13,5,IF($J228='Auto Responses'!$J$12,10,IF($J228='Auto Responses'!$J$11,20,0)))))</f>
        <v>N/A</v>
      </c>
      <c r="P228" s="107" t="str">
        <f>IF(OR($O228='Auto Responses'!$J$5,$L228='Auto Responses'!$J$5),'Auto Responses'!$J$5,$O228*$L228)</f>
        <v>N/A</v>
      </c>
      <c r="Q228" s="107">
        <f t="shared" si="21"/>
        <v>0</v>
      </c>
      <c r="R228" s="107">
        <f t="shared" si="26"/>
        <v>0</v>
      </c>
      <c r="S228" s="107">
        <f t="shared" si="22"/>
        <v>0</v>
      </c>
      <c r="T228" s="107">
        <f t="shared" si="23"/>
        <v>0</v>
      </c>
      <c r="U228" s="107">
        <f t="shared" si="27"/>
        <v>62</v>
      </c>
      <c r="V228" s="107">
        <f t="shared" si="24"/>
        <v>0</v>
      </c>
    </row>
    <row r="229" spans="1:22" ht="55.2" x14ac:dyDescent="0.3">
      <c r="A229" s="4" t="str">
        <f>Questions!$A229</f>
        <v>OPEM-02</v>
      </c>
      <c r="B229" s="4" t="str">
        <f t="shared" si="25"/>
        <v>OPEM</v>
      </c>
      <c r="C229" s="4" t="str">
        <f>VLOOKUP($A229,Questions!$A$3:$L$333,2,0)&amp;""</f>
        <v>Can your employees access customer systems remotely?</v>
      </c>
      <c r="D229" s="4" t="str">
        <f>VLOOKUP($A229,Questions!$A$3:$L$333,11,0)&amp;""</f>
        <v/>
      </c>
      <c r="E229" s="4" t="str">
        <f>VLOOKUP($A229,Questions!$A$3:$L$333,12,0)&amp;""</f>
        <v>Case-Specific</v>
      </c>
      <c r="F229" s="4" t="str">
        <f>VLOOKUP($A229,'Institution Evaluation'!$A$56:$K$345,3,0)&amp;""</f>
        <v/>
      </c>
      <c r="G229" s="4" t="str">
        <f>VLOOKUP($A229,'Institution Evaluation'!$A$56:$K$345,7,0)&amp;""</f>
        <v>No</v>
      </c>
      <c r="H229" s="4" t="str">
        <f>VLOOKUP($A229,'Institution Evaluation'!$A$56:$K$345,8,0)&amp;""</f>
        <v/>
      </c>
      <c r="I229" s="4" t="str">
        <f>VLOOKUP($A229,'Institution Evaluation'!$A$56:$K$345,9,0)&amp;""</f>
        <v>Standard Importance</v>
      </c>
      <c r="J229" s="4" t="str">
        <f>VLOOKUP($A229,'Institution Evaluation'!$A$56:$K$345,10,0)&amp;""</f>
        <v/>
      </c>
      <c r="K229" s="4">
        <f>IF($I229='Auto Responses'!$J$11,20,IF($I229='Auto Responses'!$J$13,5,10))</f>
        <v>10</v>
      </c>
      <c r="L229" s="107">
        <f>IF($E229='Auto Responses'!$L$13, 'Auto Responses'!$J$5,IF(AND($D229='Auto Responses'!$J$27,$H229=""),'Auto Responses'!$J$5,IF(AND($D229='Auto Responses'!$J$27,$H229='Auto Responses'!$J$7),1,IF(AND($D229='Auto Responses'!$J$27,$H229='Auto Responses'!$J$8),0,IF(OR(AND($F229=$G229,$H229=""),$H229='Auto Responses'!$J$7),1,0)))))</f>
        <v>0</v>
      </c>
      <c r="M229" s="4" t="str">
        <f>VLOOKUP($A229,'Institution Evaluation'!$A$56:$K$345,11,0)&amp;""</f>
        <v>FALSE</v>
      </c>
      <c r="N229" s="4">
        <f>IF($J229='Auto Responses'!$J$11,1,IF(AND($J229="",$I229='Auto Responses'!$J$11),1,0))</f>
        <v>0</v>
      </c>
      <c r="O229" s="107" t="str">
        <f>IF(OR($F$23='Auto Responses'!$J$4,$E229='Auto Responses'!$L$13,$F229='Auto Responses'!$J$5),'Auto Responses'!$J$5,IF($J229="",$K229,IF($J229='Auto Responses'!$J$13,5,IF($J229='Auto Responses'!$J$12,10,IF($J229='Auto Responses'!$J$11,20,0)))))</f>
        <v>N/A</v>
      </c>
      <c r="P229" s="107" t="str">
        <f>IF(OR($O229='Auto Responses'!$J$5,$L229='Auto Responses'!$J$5),'Auto Responses'!$J$5,$O229*$L229)</f>
        <v>N/A</v>
      </c>
      <c r="Q229" s="107">
        <f t="shared" si="21"/>
        <v>0</v>
      </c>
      <c r="R229" s="107">
        <f t="shared" si="26"/>
        <v>0</v>
      </c>
      <c r="S229" s="107">
        <f t="shared" si="22"/>
        <v>0</v>
      </c>
      <c r="T229" s="107">
        <f t="shared" si="23"/>
        <v>0</v>
      </c>
      <c r="U229" s="107">
        <f t="shared" si="27"/>
        <v>62</v>
      </c>
      <c r="V229" s="107">
        <f t="shared" si="24"/>
        <v>0</v>
      </c>
    </row>
    <row r="230" spans="1:22" ht="55.2" x14ac:dyDescent="0.3">
      <c r="A230" s="4" t="str">
        <f>Questions!$A230</f>
        <v>OPEM-03</v>
      </c>
      <c r="B230" s="4" t="str">
        <f t="shared" si="25"/>
        <v>OPEM</v>
      </c>
      <c r="C230" s="4" t="str">
        <f>VLOOKUP($A230,Questions!$A$3:$L$333,2,0)&amp;""</f>
        <v>Can you provide overall system and/or application architecture diagrams including a full description of the data communications architecture for all components of the system?</v>
      </c>
      <c r="D230" s="4" t="str">
        <f>VLOOKUP($A230,Questions!$A$3:$L$333,11,0)&amp;""</f>
        <v/>
      </c>
      <c r="E230" s="4" t="str">
        <f>VLOOKUP($A230,Questions!$A$3:$L$333,12,0)&amp;""</f>
        <v>Case-Specific</v>
      </c>
      <c r="F230" s="4" t="str">
        <f>VLOOKUP($A230,'Institution Evaluation'!$A$56:$K$345,3,0)&amp;""</f>
        <v/>
      </c>
      <c r="G230" s="4" t="str">
        <f>VLOOKUP($A230,'Institution Evaluation'!$A$56:$K$345,7,0)&amp;""</f>
        <v>Yes</v>
      </c>
      <c r="H230" s="4" t="str">
        <f>VLOOKUP($A230,'Institution Evaluation'!$A$56:$K$345,8,0)&amp;""</f>
        <v/>
      </c>
      <c r="I230" s="4" t="str">
        <f>VLOOKUP($A230,'Institution Evaluation'!$A$56:$K$345,9,0)&amp;""</f>
        <v>Standard Importance</v>
      </c>
      <c r="J230" s="4" t="str">
        <f>VLOOKUP($A230,'Institution Evaluation'!$A$56:$K$345,10,0)&amp;""</f>
        <v/>
      </c>
      <c r="K230" s="4">
        <f>IF($I230='Auto Responses'!$J$11,20,IF($I230='Auto Responses'!$J$13,5,10))</f>
        <v>10</v>
      </c>
      <c r="L230" s="107">
        <f>IF($E230='Auto Responses'!$L$13, 'Auto Responses'!$J$5,IF(AND($D230='Auto Responses'!$J$27,$H230=""),'Auto Responses'!$J$5,IF(AND($D230='Auto Responses'!$J$27,$H230='Auto Responses'!$J$7),1,IF(AND($D230='Auto Responses'!$J$27,$H230='Auto Responses'!$J$8),0,IF(OR(AND($F230=$G230,$H230=""),$H230='Auto Responses'!$J$7),1,0)))))</f>
        <v>0</v>
      </c>
      <c r="M230" s="4" t="str">
        <f>VLOOKUP($A230,'Institution Evaluation'!$A$56:$K$345,11,0)&amp;""</f>
        <v>FALSE</v>
      </c>
      <c r="N230" s="4">
        <f>IF($J230='Auto Responses'!$J$11,1,IF(AND($J230="",$I230='Auto Responses'!$J$11),1,0))</f>
        <v>0</v>
      </c>
      <c r="O230" s="107" t="str">
        <f>IF(OR($F$23='Auto Responses'!$J$4,$E230='Auto Responses'!$L$13,$F230='Auto Responses'!$J$5),'Auto Responses'!$J$5,IF($J230="",$K230,IF($J230='Auto Responses'!$J$13,5,IF($J230='Auto Responses'!$J$12,10,IF($J230='Auto Responses'!$J$11,20,0)))))</f>
        <v>N/A</v>
      </c>
      <c r="P230" s="107" t="str">
        <f>IF(OR($O230='Auto Responses'!$J$5,$L230='Auto Responses'!$J$5),'Auto Responses'!$J$5,$O230*$L230)</f>
        <v>N/A</v>
      </c>
      <c r="Q230" s="107">
        <f t="shared" si="21"/>
        <v>0</v>
      </c>
      <c r="R230" s="107">
        <f t="shared" si="26"/>
        <v>0</v>
      </c>
      <c r="S230" s="107">
        <f t="shared" si="22"/>
        <v>0</v>
      </c>
      <c r="T230" s="107">
        <f t="shared" si="23"/>
        <v>0</v>
      </c>
      <c r="U230" s="107">
        <f t="shared" si="27"/>
        <v>62</v>
      </c>
      <c r="V230" s="107">
        <f t="shared" si="24"/>
        <v>0</v>
      </c>
    </row>
    <row r="231" spans="1:22" ht="55.2" x14ac:dyDescent="0.3">
      <c r="A231" s="4" t="str">
        <f>Questions!$A231</f>
        <v>OPEM-04</v>
      </c>
      <c r="B231" s="4" t="str">
        <f t="shared" si="25"/>
        <v>OPEM</v>
      </c>
      <c r="C231" s="4" t="str">
        <f>VLOOKUP($A231,Questions!$A$3:$L$333,2,0)&amp;""</f>
        <v>Do you require remote management of the system?</v>
      </c>
      <c r="D231" s="4" t="str">
        <f>VLOOKUP($A231,Questions!$A$3:$L$333,11,0)&amp;""</f>
        <v/>
      </c>
      <c r="E231" s="4" t="str">
        <f>VLOOKUP($A231,Questions!$A$3:$L$333,12,0)&amp;""</f>
        <v>Case-Specific</v>
      </c>
      <c r="F231" s="4" t="str">
        <f>VLOOKUP($A231,'Institution Evaluation'!$A$56:$K$345,3,0)&amp;""</f>
        <v/>
      </c>
      <c r="G231" s="4" t="str">
        <f>VLOOKUP($A231,'Institution Evaluation'!$A$56:$K$345,7,0)&amp;""</f>
        <v>No</v>
      </c>
      <c r="H231" s="4" t="str">
        <f>VLOOKUP($A231,'Institution Evaluation'!$A$56:$K$345,8,0)&amp;""</f>
        <v/>
      </c>
      <c r="I231" s="4" t="str">
        <f>VLOOKUP($A231,'Institution Evaluation'!$A$56:$K$345,9,0)&amp;""</f>
        <v>Standard Importance</v>
      </c>
      <c r="J231" s="4" t="str">
        <f>VLOOKUP($A231,'Institution Evaluation'!$A$56:$K$345,10,0)&amp;""</f>
        <v/>
      </c>
      <c r="K231" s="4">
        <f>IF($I231='Auto Responses'!$J$11,20,IF($I231='Auto Responses'!$J$13,5,10))</f>
        <v>10</v>
      </c>
      <c r="L231" s="107">
        <f>IF($E231='Auto Responses'!$L$13, 'Auto Responses'!$J$5,IF(AND($D231='Auto Responses'!$J$27,$H231=""),'Auto Responses'!$J$5,IF(AND($D231='Auto Responses'!$J$27,$H231='Auto Responses'!$J$7),1,IF(AND($D231='Auto Responses'!$J$27,$H231='Auto Responses'!$J$8),0,IF(OR(AND($F231=$G231,$H231=""),$H231='Auto Responses'!$J$7),1,0)))))</f>
        <v>0</v>
      </c>
      <c r="M231" s="4" t="str">
        <f>VLOOKUP($A231,'Institution Evaluation'!$A$56:$K$345,11,0)&amp;""</f>
        <v>FALSE</v>
      </c>
      <c r="N231" s="4">
        <f>IF($J231='Auto Responses'!$J$11,1,IF(AND($J231="",$I231='Auto Responses'!$J$11),1,0))</f>
        <v>0</v>
      </c>
      <c r="O231" s="107" t="str">
        <f>IF(OR($F$23='Auto Responses'!$J$4,$E231='Auto Responses'!$L$13,$F231='Auto Responses'!$J$5),'Auto Responses'!$J$5,IF($J231="",$K231,IF($J231='Auto Responses'!$J$13,5,IF($J231='Auto Responses'!$J$12,10,IF($J231='Auto Responses'!$J$11,20,0)))))</f>
        <v>N/A</v>
      </c>
      <c r="P231" s="107" t="str">
        <f>IF(OR($O231='Auto Responses'!$J$5,$L231='Auto Responses'!$J$5),'Auto Responses'!$J$5,$O231*$L231)</f>
        <v>N/A</v>
      </c>
      <c r="Q231" s="107">
        <f t="shared" si="21"/>
        <v>0</v>
      </c>
      <c r="R231" s="107">
        <f t="shared" si="26"/>
        <v>0</v>
      </c>
      <c r="S231" s="107">
        <f t="shared" si="22"/>
        <v>0</v>
      </c>
      <c r="T231" s="107">
        <f t="shared" si="23"/>
        <v>0</v>
      </c>
      <c r="U231" s="107">
        <f t="shared" si="27"/>
        <v>62</v>
      </c>
      <c r="V231" s="107">
        <f t="shared" si="24"/>
        <v>0</v>
      </c>
    </row>
    <row r="232" spans="1:22" ht="55.2" x14ac:dyDescent="0.3">
      <c r="A232" s="4" t="str">
        <f>Questions!$A232</f>
        <v>OPEM-05</v>
      </c>
      <c r="B232" s="4" t="str">
        <f t="shared" si="25"/>
        <v>OPEM</v>
      </c>
      <c r="C232" s="4" t="str">
        <f>VLOOKUP($A232,Questions!$A$3:$L$333,2,0)&amp;""</f>
        <v>If you answered "yes" to OPEM-04, are your remote actions and changes logged or otherwise visible to the campus?</v>
      </c>
      <c r="D232" s="4" t="str">
        <f>VLOOKUP($A232,Questions!$A$3:$L$333,11,0)&amp;""</f>
        <v/>
      </c>
      <c r="E232" s="4" t="str">
        <f>VLOOKUP($A232,Questions!$A$3:$L$333,12,0)&amp;""</f>
        <v>Case-Specific</v>
      </c>
      <c r="F232" s="4" t="str">
        <f>VLOOKUP($A232,'Institution Evaluation'!$A$56:$K$345,3,0)&amp;""</f>
        <v/>
      </c>
      <c r="G232" s="4" t="str">
        <f>VLOOKUP($A232,'Institution Evaluation'!$A$56:$K$345,7,0)&amp;""</f>
        <v>Yes</v>
      </c>
      <c r="H232" s="4" t="str">
        <f>VLOOKUP($A232,'Institution Evaluation'!$A$56:$K$345,8,0)&amp;""</f>
        <v/>
      </c>
      <c r="I232" s="4" t="str">
        <f>VLOOKUP($A232,'Institution Evaluation'!$A$56:$K$345,9,0)&amp;""</f>
        <v>Standard Importance</v>
      </c>
      <c r="J232" s="4" t="str">
        <f>VLOOKUP($A232,'Institution Evaluation'!$A$56:$K$345,10,0)&amp;""</f>
        <v/>
      </c>
      <c r="K232" s="4">
        <f>IF($I232='Auto Responses'!$J$11,20,IF($I232='Auto Responses'!$J$13,5,10))</f>
        <v>10</v>
      </c>
      <c r="L232" s="107">
        <f>IF($E232='Auto Responses'!$L$13, 'Auto Responses'!$J$5,IF(AND($D232='Auto Responses'!$J$27,$H232=""),'Auto Responses'!$J$5,IF(AND($D232='Auto Responses'!$J$27,$H232='Auto Responses'!$J$7),1,IF(AND($D232='Auto Responses'!$J$27,$H232='Auto Responses'!$J$8),0,IF(OR(AND($F232=$G232,$H232=""),$H232='Auto Responses'!$J$7),1,0)))))</f>
        <v>0</v>
      </c>
      <c r="M232" s="4" t="str">
        <f>VLOOKUP($A232,'Institution Evaluation'!$A$56:$K$345,11,0)&amp;""</f>
        <v>FALSE</v>
      </c>
      <c r="N232" s="4">
        <f>IF($J232='Auto Responses'!$J$11,1,IF(AND($J232="",$I232='Auto Responses'!$J$11),1,0))</f>
        <v>0</v>
      </c>
      <c r="O232" s="107" t="str">
        <f>IF(OR($F$23='Auto Responses'!$J$4,$E232='Auto Responses'!$L$13,$F232='Auto Responses'!$J$5),'Auto Responses'!$J$5,IF($J232="",$K232,IF($J232='Auto Responses'!$J$13,5,IF($J232='Auto Responses'!$J$12,10,IF($J232='Auto Responses'!$J$11,20,0)))))</f>
        <v>N/A</v>
      </c>
      <c r="P232" s="107" t="str">
        <f>IF(OR($O232='Auto Responses'!$J$5,$L232='Auto Responses'!$J$5),'Auto Responses'!$J$5,$O232*$L232)</f>
        <v>N/A</v>
      </c>
      <c r="Q232" s="107">
        <f t="shared" si="21"/>
        <v>0</v>
      </c>
      <c r="R232" s="107">
        <f t="shared" si="26"/>
        <v>0</v>
      </c>
      <c r="S232" s="107">
        <f t="shared" si="22"/>
        <v>0</v>
      </c>
      <c r="T232" s="107">
        <f t="shared" si="23"/>
        <v>0</v>
      </c>
      <c r="U232" s="107">
        <f t="shared" si="27"/>
        <v>62</v>
      </c>
      <c r="V232" s="107">
        <f t="shared" si="24"/>
        <v>0</v>
      </c>
    </row>
    <row r="233" spans="1:22" ht="55.2" x14ac:dyDescent="0.3">
      <c r="A233" s="4" t="str">
        <f>Questions!$A233</f>
        <v>OPEM-06</v>
      </c>
      <c r="B233" s="4" t="str">
        <f t="shared" si="25"/>
        <v>OPEM</v>
      </c>
      <c r="C233" s="4" t="str">
        <f>VLOOKUP($A233,Questions!$A$3:$L$333,2,0)&amp;""</f>
        <v>If you maintain remote access to the system, will you handle data in a FERPA-compliant manner?</v>
      </c>
      <c r="D233" s="4" t="str">
        <f>VLOOKUP($A233,Questions!$A$3:$L$333,11,0)&amp;""</f>
        <v/>
      </c>
      <c r="E233" s="4" t="str">
        <f>VLOOKUP($A233,Questions!$A$3:$L$333,12,0)&amp;""</f>
        <v>Case-Specific</v>
      </c>
      <c r="F233" s="4" t="str">
        <f>VLOOKUP($A233,'Institution Evaluation'!$A$56:$K$345,3,0)&amp;""</f>
        <v/>
      </c>
      <c r="G233" s="4" t="str">
        <f>VLOOKUP($A233,'Institution Evaluation'!$A$56:$K$345,7,0)&amp;""</f>
        <v>Yes</v>
      </c>
      <c r="H233" s="4" t="str">
        <f>VLOOKUP($A233,'Institution Evaluation'!$A$56:$K$345,8,0)&amp;""</f>
        <v/>
      </c>
      <c r="I233" s="4" t="str">
        <f>VLOOKUP($A233,'Institution Evaluation'!$A$56:$K$345,9,0)&amp;""</f>
        <v>Standard Importance</v>
      </c>
      <c r="J233" s="4" t="str">
        <f>VLOOKUP($A233,'Institution Evaluation'!$A$56:$K$345,10,0)&amp;""</f>
        <v/>
      </c>
      <c r="K233" s="4">
        <f>IF($I233='Auto Responses'!$J$11,20,IF($I233='Auto Responses'!$J$13,5,10))</f>
        <v>10</v>
      </c>
      <c r="L233" s="107">
        <f>IF($E233='Auto Responses'!$L$13, 'Auto Responses'!$J$5,IF(AND($D233='Auto Responses'!$J$27,$H233=""),'Auto Responses'!$J$5,IF(AND($D233='Auto Responses'!$J$27,$H233='Auto Responses'!$J$7),1,IF(AND($D233='Auto Responses'!$J$27,$H233='Auto Responses'!$J$8),0,IF(OR(AND($F233=$G233,$H233=""),$H233='Auto Responses'!$J$7),1,0)))))</f>
        <v>0</v>
      </c>
      <c r="M233" s="4" t="str">
        <f>VLOOKUP($A233,'Institution Evaluation'!$A$56:$K$345,11,0)&amp;""</f>
        <v>FALSE</v>
      </c>
      <c r="N233" s="4">
        <f>IF($J233='Auto Responses'!$J$11,1,IF(AND($J233="",$I233='Auto Responses'!$J$11),1,0))</f>
        <v>0</v>
      </c>
      <c r="O233" s="107" t="str">
        <f>IF(OR($F$23='Auto Responses'!$J$4,$E233='Auto Responses'!$L$13,$F233='Auto Responses'!$J$5),'Auto Responses'!$J$5,IF($J233="",$K233,IF($J233='Auto Responses'!$J$13,5,IF($J233='Auto Responses'!$J$12,10,IF($J233='Auto Responses'!$J$11,20,0)))))</f>
        <v>N/A</v>
      </c>
      <c r="P233" s="107" t="str">
        <f>IF(OR($O233='Auto Responses'!$J$5,$L233='Auto Responses'!$J$5),'Auto Responses'!$J$5,$O233*$L233)</f>
        <v>N/A</v>
      </c>
      <c r="Q233" s="107">
        <f t="shared" si="21"/>
        <v>0</v>
      </c>
      <c r="R233" s="107">
        <f t="shared" si="26"/>
        <v>0</v>
      </c>
      <c r="S233" s="107">
        <f t="shared" si="22"/>
        <v>0</v>
      </c>
      <c r="T233" s="107">
        <f t="shared" si="23"/>
        <v>0</v>
      </c>
      <c r="U233" s="107">
        <f t="shared" si="27"/>
        <v>62</v>
      </c>
      <c r="V233" s="107">
        <f t="shared" si="24"/>
        <v>0</v>
      </c>
    </row>
    <row r="234" spans="1:22" ht="55.2" x14ac:dyDescent="0.3">
      <c r="A234" s="4" t="str">
        <f>Questions!$A234</f>
        <v>OPEM-07</v>
      </c>
      <c r="B234" s="4" t="str">
        <f t="shared" si="25"/>
        <v>OPEM</v>
      </c>
      <c r="C234" s="4" t="str">
        <f>VLOOKUP($A234,Questions!$A$3:$L$333,2,0)&amp;""</f>
        <v>Do you support campus status monitoring through SNMPv3 or other means?</v>
      </c>
      <c r="D234" s="4" t="str">
        <f>VLOOKUP($A234,Questions!$A$3:$L$333,11,0)&amp;""</f>
        <v/>
      </c>
      <c r="E234" s="4" t="str">
        <f>VLOOKUP($A234,Questions!$A$3:$L$333,12,0)&amp;""</f>
        <v>Case-Specific</v>
      </c>
      <c r="F234" s="4" t="str">
        <f>VLOOKUP($A234,'Institution Evaluation'!$A$56:$K$345,3,0)&amp;""</f>
        <v/>
      </c>
      <c r="G234" s="4" t="str">
        <f>VLOOKUP($A234,'Institution Evaluation'!$A$56:$K$345,7,0)&amp;""</f>
        <v>Yes</v>
      </c>
      <c r="H234" s="4" t="str">
        <f>VLOOKUP($A234,'Institution Evaluation'!$A$56:$K$345,8,0)&amp;""</f>
        <v/>
      </c>
      <c r="I234" s="4" t="str">
        <f>VLOOKUP($A234,'Institution Evaluation'!$A$56:$K$345,9,0)&amp;""</f>
        <v>Standard Importance</v>
      </c>
      <c r="J234" s="4" t="str">
        <f>VLOOKUP($A234,'Institution Evaluation'!$A$56:$K$345,10,0)&amp;""</f>
        <v/>
      </c>
      <c r="K234" s="4">
        <f>IF($I234='Auto Responses'!$J$11,20,IF($I234='Auto Responses'!$J$13,5,10))</f>
        <v>10</v>
      </c>
      <c r="L234" s="107">
        <f>IF($E234='Auto Responses'!$L$13, 'Auto Responses'!$J$5,IF(AND($D234='Auto Responses'!$J$27,$H234=""),'Auto Responses'!$J$5,IF(AND($D234='Auto Responses'!$J$27,$H234='Auto Responses'!$J$7),1,IF(AND($D234='Auto Responses'!$J$27,$H234='Auto Responses'!$J$8),0,IF(OR(AND($F234=$G234,$H234=""),$H234='Auto Responses'!$J$7),1,0)))))</f>
        <v>0</v>
      </c>
      <c r="M234" s="4" t="str">
        <f>VLOOKUP($A234,'Institution Evaluation'!$A$56:$K$345,11,0)&amp;""</f>
        <v>FALSE</v>
      </c>
      <c r="N234" s="4">
        <f>IF($J234='Auto Responses'!$J$11,1,IF(AND($J234="",$I234='Auto Responses'!$J$11),1,0))</f>
        <v>0</v>
      </c>
      <c r="O234" s="107" t="str">
        <f>IF(OR($F$23='Auto Responses'!$J$4,$E234='Auto Responses'!$L$13,$F234='Auto Responses'!$J$5),'Auto Responses'!$J$5,IF($J234="",$K234,IF($J234='Auto Responses'!$J$13,5,IF($J234='Auto Responses'!$J$12,10,IF($J234='Auto Responses'!$J$11,20,0)))))</f>
        <v>N/A</v>
      </c>
      <c r="P234" s="107" t="str">
        <f>IF(OR($O234='Auto Responses'!$J$5,$L234='Auto Responses'!$J$5),'Auto Responses'!$J$5,$O234*$L234)</f>
        <v>N/A</v>
      </c>
      <c r="Q234" s="107">
        <f t="shared" si="21"/>
        <v>0</v>
      </c>
      <c r="R234" s="107">
        <f t="shared" si="26"/>
        <v>0</v>
      </c>
      <c r="S234" s="107">
        <f t="shared" si="22"/>
        <v>0</v>
      </c>
      <c r="T234" s="107">
        <f t="shared" si="23"/>
        <v>0</v>
      </c>
      <c r="U234" s="107">
        <f t="shared" si="27"/>
        <v>62</v>
      </c>
      <c r="V234" s="107">
        <f t="shared" si="24"/>
        <v>0</v>
      </c>
    </row>
    <row r="235" spans="1:22" ht="55.2" x14ac:dyDescent="0.3">
      <c r="A235" s="4" t="str">
        <f>Questions!$A235</f>
        <v>OPEM-08</v>
      </c>
      <c r="B235" s="4" t="str">
        <f t="shared" si="25"/>
        <v>OPEM</v>
      </c>
      <c r="C235" s="4" t="str">
        <f>VLOOKUP($A235,Questions!$A$3:$L$333,2,0)&amp;""</f>
        <v>Describe or provide a reference to any other safeguards used to monitor for malicious activity.</v>
      </c>
      <c r="D235" s="4" t="str">
        <f>VLOOKUP($A235,Questions!$A$3:$L$333,11,0)&amp;""</f>
        <v/>
      </c>
      <c r="E235" s="4" t="str">
        <f>VLOOKUP($A235,Questions!$A$3:$L$333,12,0)&amp;""</f>
        <v>Not scored</v>
      </c>
      <c r="F235" s="4" t="str">
        <f>VLOOKUP($A235,'Institution Evaluation'!$A$56:$K$345,3,0)&amp;""</f>
        <v/>
      </c>
      <c r="G235" s="4" t="str">
        <f>VLOOKUP($A235,'Institution Evaluation'!$A$56:$K$345,7,0)&amp;""</f>
        <v>Not scored</v>
      </c>
      <c r="H235" s="4" t="str">
        <f>VLOOKUP($A235,'Institution Evaluation'!$A$56:$K$345,8,0)&amp;""</f>
        <v/>
      </c>
      <c r="I235" s="4" t="str">
        <f>VLOOKUP($A235,'Institution Evaluation'!$A$56:$K$345,9,0)&amp;""</f>
        <v/>
      </c>
      <c r="J235" s="4" t="str">
        <f>VLOOKUP($A235,'Institution Evaluation'!$A$56:$K$345,10,0)&amp;""</f>
        <v/>
      </c>
      <c r="K235" s="4">
        <f>IF($I235='Auto Responses'!$J$11,20,IF($I235='Auto Responses'!$J$13,5,10))</f>
        <v>10</v>
      </c>
      <c r="L235" s="107" t="str">
        <f>IF($E235='Auto Responses'!$L$13, 'Auto Responses'!$J$5,IF(AND($D235='Auto Responses'!$J$27,$H235=""),'Auto Responses'!$J$5,IF(AND($D235='Auto Responses'!$J$27,$H235='Auto Responses'!$J$7),1,IF(AND($D235='Auto Responses'!$J$27,$H235='Auto Responses'!$J$8),0,IF(OR(AND($F235=$G235,$H235=""),$H235='Auto Responses'!$J$7),1,0)))))</f>
        <v>N/A</v>
      </c>
      <c r="M235" s="4" t="str">
        <f>VLOOKUP($A235,'Institution Evaluation'!$A$56:$K$345,11,0)&amp;""</f>
        <v>FALSE</v>
      </c>
      <c r="N235" s="4">
        <f>IF($J235='Auto Responses'!$J$11,1,IF(AND($J235="",$I235='Auto Responses'!$J$11),1,0))</f>
        <v>0</v>
      </c>
      <c r="O235" s="107" t="str">
        <f>IF(OR($F$23='Auto Responses'!$J$4,$E235='Auto Responses'!$L$13,$F235='Auto Responses'!$J$5),'Auto Responses'!$J$5,IF($J235="",$K235,IF($J235='Auto Responses'!$J$13,5,IF($J235='Auto Responses'!$J$12,10,IF($J235='Auto Responses'!$J$11,20,0)))))</f>
        <v>N/A</v>
      </c>
      <c r="P235" s="107" t="str">
        <f>IF(OR($O235='Auto Responses'!$J$5,$L235='Auto Responses'!$J$5),'Auto Responses'!$J$5,$O235*$L235)</f>
        <v>N/A</v>
      </c>
      <c r="Q235" s="107">
        <f t="shared" si="21"/>
        <v>0</v>
      </c>
      <c r="R235" s="107">
        <f t="shared" si="26"/>
        <v>0</v>
      </c>
      <c r="S235" s="107">
        <f t="shared" si="22"/>
        <v>0</v>
      </c>
      <c r="T235" s="107">
        <f t="shared" si="23"/>
        <v>0</v>
      </c>
      <c r="U235" s="107">
        <f t="shared" si="27"/>
        <v>62</v>
      </c>
      <c r="V235" s="107">
        <f t="shared" si="24"/>
        <v>0</v>
      </c>
    </row>
    <row r="236" spans="1:22" ht="55.2" x14ac:dyDescent="0.3">
      <c r="A236" s="4" t="str">
        <f>Questions!$A236</f>
        <v>OPEM-09</v>
      </c>
      <c r="B236" s="4" t="str">
        <f t="shared" si="25"/>
        <v>OPEM</v>
      </c>
      <c r="C236" s="4" t="str">
        <f>VLOOKUP($A236,Questions!$A$3:$L$333,2,0)&amp;""</f>
        <v>Describe how long your organization has conducted business in this area.</v>
      </c>
      <c r="D236" s="4" t="str">
        <f>VLOOKUP($A236,Questions!$A$3:$L$333,11,0)&amp;""</f>
        <v/>
      </c>
      <c r="E236" s="4" t="str">
        <f>VLOOKUP($A236,Questions!$A$3:$L$333,12,0)&amp;""</f>
        <v>Not scored</v>
      </c>
      <c r="F236" s="4" t="str">
        <f>VLOOKUP($A236,'Institution Evaluation'!$A$56:$K$345,3,0)&amp;""</f>
        <v/>
      </c>
      <c r="G236" s="4" t="str">
        <f>VLOOKUP($A236,'Institution Evaluation'!$A$56:$K$345,7,0)&amp;""</f>
        <v>Not scored</v>
      </c>
      <c r="H236" s="4" t="str">
        <f>VLOOKUP($A236,'Institution Evaluation'!$A$56:$K$345,8,0)&amp;""</f>
        <v/>
      </c>
      <c r="I236" s="4" t="str">
        <f>VLOOKUP($A236,'Institution Evaluation'!$A$56:$K$345,9,0)&amp;""</f>
        <v/>
      </c>
      <c r="J236" s="4" t="str">
        <f>VLOOKUP($A236,'Institution Evaluation'!$A$56:$K$345,10,0)&amp;""</f>
        <v/>
      </c>
      <c r="K236" s="4">
        <f>IF($I236='Auto Responses'!$J$11,20,IF($I236='Auto Responses'!$J$13,5,10))</f>
        <v>10</v>
      </c>
      <c r="L236" s="107" t="str">
        <f>IF($E236='Auto Responses'!$L$13, 'Auto Responses'!$J$5,IF(AND($D236='Auto Responses'!$J$27,$H236=""),'Auto Responses'!$J$5,IF(AND($D236='Auto Responses'!$J$27,$H236='Auto Responses'!$J$7),1,IF(AND($D236='Auto Responses'!$J$27,$H236='Auto Responses'!$J$8),0,IF(OR(AND($F236=$G236,$H236=""),$H236='Auto Responses'!$J$7),1,0)))))</f>
        <v>N/A</v>
      </c>
      <c r="M236" s="4" t="str">
        <f>VLOOKUP($A236,'Institution Evaluation'!$A$56:$K$345,11,0)&amp;""</f>
        <v>FALSE</v>
      </c>
      <c r="N236" s="4">
        <f>IF($J236='Auto Responses'!$J$11,1,IF(AND($J236="",$I236='Auto Responses'!$J$11),1,0))</f>
        <v>0</v>
      </c>
      <c r="O236" s="107" t="str">
        <f>IF(OR($F$23='Auto Responses'!$J$4,$E236='Auto Responses'!$L$13,$F236='Auto Responses'!$J$5),'Auto Responses'!$J$5,IF($J236="",$K236,IF($J236='Auto Responses'!$J$13,5,IF($J236='Auto Responses'!$J$12,10,IF($J236='Auto Responses'!$J$11,20,0)))))</f>
        <v>N/A</v>
      </c>
      <c r="P236" s="107" t="str">
        <f>IF(OR($O236='Auto Responses'!$J$5,$L236='Auto Responses'!$J$5),'Auto Responses'!$J$5,$O236*$L236)</f>
        <v>N/A</v>
      </c>
      <c r="Q236" s="107">
        <f t="shared" si="21"/>
        <v>0</v>
      </c>
      <c r="R236" s="107">
        <f t="shared" si="26"/>
        <v>0</v>
      </c>
      <c r="S236" s="107">
        <f t="shared" si="22"/>
        <v>0</v>
      </c>
      <c r="T236" s="107">
        <f t="shared" si="23"/>
        <v>0</v>
      </c>
      <c r="U236" s="107">
        <f t="shared" si="27"/>
        <v>62</v>
      </c>
      <c r="V236" s="107">
        <f t="shared" si="24"/>
        <v>0</v>
      </c>
    </row>
    <row r="237" spans="1:22" ht="55.2" x14ac:dyDescent="0.3">
      <c r="A237" s="4" t="str">
        <f>Questions!$A237</f>
        <v>OPEM-10</v>
      </c>
      <c r="B237" s="4" t="str">
        <f t="shared" si="25"/>
        <v>OPEM</v>
      </c>
      <c r="C237" s="4" t="str">
        <f>VLOOKUP($A237,Questions!$A$3:$L$333,2,0)&amp;""</f>
        <v>Do you have existing higher education customers?</v>
      </c>
      <c r="D237" s="4" t="str">
        <f>VLOOKUP($A237,Questions!$A$3:$L$333,11,0)&amp;""</f>
        <v/>
      </c>
      <c r="E237" s="4" t="str">
        <f>VLOOKUP($A237,Questions!$A$3:$L$333,12,0)&amp;""</f>
        <v>Case-Specific</v>
      </c>
      <c r="F237" s="4" t="str">
        <f>VLOOKUP($A237,'Institution Evaluation'!$A$56:$K$345,3,0)&amp;""</f>
        <v/>
      </c>
      <c r="G237" s="4" t="str">
        <f>VLOOKUP($A237,'Institution Evaluation'!$A$56:$K$345,7,0)&amp;""</f>
        <v>Yes</v>
      </c>
      <c r="H237" s="4" t="str">
        <f>VLOOKUP($A237,'Institution Evaluation'!$A$56:$K$345,8,0)&amp;""</f>
        <v/>
      </c>
      <c r="I237" s="4" t="str">
        <f>VLOOKUP($A237,'Institution Evaluation'!$A$56:$K$345,9,0)&amp;""</f>
        <v>Minor Importance</v>
      </c>
      <c r="J237" s="4" t="str">
        <f>VLOOKUP($A237,'Institution Evaluation'!$A$56:$K$345,10,0)&amp;""</f>
        <v/>
      </c>
      <c r="K237" s="4">
        <f>IF($I237='Auto Responses'!$J$11,20,IF($I237='Auto Responses'!$J$13,5,10))</f>
        <v>5</v>
      </c>
      <c r="L237" s="107">
        <f>IF($E237='Auto Responses'!$L$13, 'Auto Responses'!$J$5,IF(AND($D237='Auto Responses'!$J$27,$H237=""),'Auto Responses'!$J$5,IF(AND($D237='Auto Responses'!$J$27,$H237='Auto Responses'!$J$7),1,IF(AND($D237='Auto Responses'!$J$27,$H237='Auto Responses'!$J$8),0,IF(OR(AND($F237=$G237,$H237=""),$H237='Auto Responses'!$J$7),1,0)))))</f>
        <v>0</v>
      </c>
      <c r="M237" s="4" t="str">
        <f>VLOOKUP($A237,'Institution Evaluation'!$A$56:$K$345,11,0)&amp;""</f>
        <v>FALSE</v>
      </c>
      <c r="N237" s="4">
        <f>IF($J237='Auto Responses'!$J$11,1,IF(AND($J237="",$I237='Auto Responses'!$J$11),1,0))</f>
        <v>0</v>
      </c>
      <c r="O237" s="107" t="str">
        <f>IF(OR($F$23='Auto Responses'!$J$4,$E237='Auto Responses'!$L$13,$F237='Auto Responses'!$J$5),'Auto Responses'!$J$5,IF($J237="",$K237,IF($J237='Auto Responses'!$J$13,5,IF($J237='Auto Responses'!$J$12,10,IF($J237='Auto Responses'!$J$11,20,0)))))</f>
        <v>N/A</v>
      </c>
      <c r="P237" s="107" t="str">
        <f>IF(OR($O237='Auto Responses'!$J$5,$L237='Auto Responses'!$J$5),'Auto Responses'!$J$5,$O237*$L237)</f>
        <v>N/A</v>
      </c>
      <c r="Q237" s="107">
        <f t="shared" ref="Q237" si="28">IF(M237="TRUE",1,0)</f>
        <v>0</v>
      </c>
      <c r="R237" s="107">
        <f t="shared" si="26"/>
        <v>0</v>
      </c>
      <c r="S237" s="107">
        <f t="shared" ref="S237" si="29">IF(Q237=0,0,R237)</f>
        <v>0</v>
      </c>
      <c r="T237" s="107">
        <f t="shared" ref="T237" si="30">IF(N237=1,1,0)</f>
        <v>0</v>
      </c>
      <c r="U237" s="107">
        <f t="shared" si="27"/>
        <v>62</v>
      </c>
      <c r="V237" s="107">
        <f t="shared" ref="V237" si="31">IF(T237=0,0,U237)</f>
        <v>0</v>
      </c>
    </row>
    <row r="238" spans="1:22" ht="55.2" x14ac:dyDescent="0.3">
      <c r="A238" s="4" t="str">
        <f>Questions!$A238</f>
        <v>PRGN-01</v>
      </c>
      <c r="B238" s="4" t="str">
        <f t="shared" si="25"/>
        <v>PRGN</v>
      </c>
      <c r="C238" s="4" t="str">
        <f>VLOOKUP($A238,Questions!$A$3:$L$333,2,0)&amp;""</f>
        <v>Does your solution process FERPA-related data?</v>
      </c>
      <c r="D238" s="4" t="str">
        <f>VLOOKUP($A238,Questions!$A$3:$L$333,11,0)&amp;""</f>
        <v>NA</v>
      </c>
      <c r="E238" s="4" t="str">
        <f>VLOOKUP($A238,Questions!$A$3:$L$333,12,0)&amp;""</f>
        <v>Not scored</v>
      </c>
      <c r="F238" s="4" t="str">
        <f>VLOOKUP($A238,'Privacy Analyst Evaluation'!$A$46:$K$120,3,0)&amp;""</f>
        <v>Yes</v>
      </c>
      <c r="G238" s="4" t="str">
        <f>VLOOKUP($A238,'Privacy Analyst Evaluation'!$A$46:$K$120,7,0)&amp;""</f>
        <v>Not scored</v>
      </c>
      <c r="H238" s="4" t="str">
        <f>VLOOKUP($A238,'Privacy Analyst Evaluation'!$A$46:$K$120,8,0)&amp;""</f>
        <v/>
      </c>
      <c r="I238" s="4" t="str">
        <f>VLOOKUP($A238,'Privacy Analyst Evaluation'!$A$46:$K$120,9,0)&amp;""</f>
        <v/>
      </c>
      <c r="J238" s="4" t="str">
        <f>VLOOKUP($A238,'Privacy Analyst Evaluation'!$A$46:$K$120,10,0)&amp;""</f>
        <v/>
      </c>
      <c r="K238" s="4">
        <f>IF($I238='Auto Responses'!$J$11,20,IF($I238='Auto Responses'!$J$13,5,10))</f>
        <v>10</v>
      </c>
      <c r="L238" s="107" t="str">
        <f>IF($E238='Auto Responses'!$L$13, 'Auto Responses'!$J$5,IF(AND($D238='Auto Responses'!$J$27,$H238=""),'Auto Responses'!$J$5,IF(AND($D238='Auto Responses'!$J$27,$H238='Auto Responses'!$J$7),1,IF(AND($D238='Auto Responses'!$J$27,$H238='Auto Responses'!$J$8),0,IF(OR(AND($F238=$G238,$H238=""),$H238='Auto Responses'!$J$7),1,0)))))</f>
        <v>N/A</v>
      </c>
      <c r="M238" s="4" t="str">
        <f>VLOOKUP($A238,'Privacy Analyst Evaluation'!$A$46:$K$120,11,0)&amp;""</f>
        <v>FALSE</v>
      </c>
      <c r="N238" s="4">
        <f>IF($J238='Auto Responses'!$J$11,1,IF(AND($J238="",$I238='Auto Responses'!$J$11),1,0))</f>
        <v>0</v>
      </c>
      <c r="O238" s="107" t="str">
        <f>IF(OR($E238='Auto Responses'!$L$13,$F$24='Auto Responses'!$J$4,$F238='Auto Responses'!$J$5),'Auto Responses'!$J$5,IF($J238="",$K238,IF($J238='Auto Responses'!$J$13,5,IF($J238='Auto Responses'!$J$12,10,IF($J238='Auto Responses'!$J$11,20,0)))))</f>
        <v>N/A</v>
      </c>
      <c r="P238" s="107" t="str">
        <f>IF(OR($O238='Auto Responses'!$J$5,$L238='Auto Responses'!$J$5),'Auto Responses'!$J$5,$O238*$L238)</f>
        <v>N/A</v>
      </c>
      <c r="Q238" s="107">
        <f t="shared" si="21"/>
        <v>0</v>
      </c>
      <c r="R238" s="107">
        <f t="shared" si="26"/>
        <v>0</v>
      </c>
      <c r="S238" s="107">
        <f t="shared" si="22"/>
        <v>0</v>
      </c>
      <c r="T238" s="107">
        <f t="shared" si="23"/>
        <v>0</v>
      </c>
      <c r="U238" s="107">
        <f t="shared" si="27"/>
        <v>62</v>
      </c>
      <c r="V238" s="107">
        <f t="shared" si="24"/>
        <v>0</v>
      </c>
    </row>
    <row r="239" spans="1:22" ht="55.2" x14ac:dyDescent="0.3">
      <c r="A239" s="4" t="str">
        <f>Questions!$A239</f>
        <v>PRGN-02</v>
      </c>
      <c r="B239" s="4" t="str">
        <f t="shared" si="25"/>
        <v>PRGN</v>
      </c>
      <c r="C239" s="4" t="str">
        <f>VLOOKUP($A239,Questions!$A$3:$L$333,2,0)&amp;""</f>
        <v>Does your solution process GDPR-related or PIPL-related data?</v>
      </c>
      <c r="D239" s="4" t="str">
        <f>VLOOKUP($A239,Questions!$A$3:$L$333,11,0)&amp;""</f>
        <v>NA</v>
      </c>
      <c r="E239" s="4" t="str">
        <f>VLOOKUP($A239,Questions!$A$3:$L$333,12,0)&amp;""</f>
        <v>Not scored</v>
      </c>
      <c r="F239" s="4" t="str">
        <f>VLOOKUP($A239,'Privacy Analyst Evaluation'!$A$46:$K$120,3,0)&amp;""</f>
        <v>Yes</v>
      </c>
      <c r="G239" s="4" t="str">
        <f>VLOOKUP($A239,'Privacy Analyst Evaluation'!$A$46:$K$120,7,0)&amp;""</f>
        <v>Not scored</v>
      </c>
      <c r="H239" s="4" t="str">
        <f>VLOOKUP($A239,'Privacy Analyst Evaluation'!$A$46:$K$120,8,0)&amp;""</f>
        <v/>
      </c>
      <c r="I239" s="4" t="str">
        <f>VLOOKUP($A239,'Privacy Analyst Evaluation'!$A$46:$K$120,9,0)&amp;""</f>
        <v/>
      </c>
      <c r="J239" s="4" t="str">
        <f>VLOOKUP($A239,'Privacy Analyst Evaluation'!$A$46:$K$120,10,0)&amp;""</f>
        <v/>
      </c>
      <c r="K239" s="4">
        <f>IF($I239='Auto Responses'!$J$11,20,IF($I239='Auto Responses'!$J$13,5,10))</f>
        <v>10</v>
      </c>
      <c r="L239" s="107" t="str">
        <f>IF($E239='Auto Responses'!$L$13, 'Auto Responses'!$J$5,IF(AND($D239='Auto Responses'!$J$27,$H239=""),'Auto Responses'!$J$5,IF(AND($D239='Auto Responses'!$J$27,$H239='Auto Responses'!$J$7),1,IF(AND($D239='Auto Responses'!$J$27,$H239='Auto Responses'!$J$8),0,IF(OR(AND($F239=$G239,$H239=""),$H239='Auto Responses'!$J$7),1,0)))))</f>
        <v>N/A</v>
      </c>
      <c r="M239" s="4" t="str">
        <f>VLOOKUP($A239,'Privacy Analyst Evaluation'!$A$46:$K$120,11,0)&amp;""</f>
        <v>FALSE</v>
      </c>
      <c r="N239" s="4">
        <f>IF($J239='Auto Responses'!$J$11,1,IF(AND($J239="",$I239='Auto Responses'!$J$11),1,0))</f>
        <v>0</v>
      </c>
      <c r="O239" s="107" t="str">
        <f>IF(OR($E239='Auto Responses'!$L$13,$F$24='Auto Responses'!$J$4,$F239='Auto Responses'!$J$5),'Auto Responses'!$J$5,IF($J239="",$K239,IF($J239='Auto Responses'!$J$13,5,IF($J239='Auto Responses'!$J$12,10,IF($J239='Auto Responses'!$J$11,20,0)))))</f>
        <v>N/A</v>
      </c>
      <c r="P239" s="107" t="str">
        <f>IF(OR($O239='Auto Responses'!$J$5,$L239='Auto Responses'!$J$5),'Auto Responses'!$J$5,$O239*$L239)</f>
        <v>N/A</v>
      </c>
      <c r="Q239" s="107">
        <f t="shared" si="21"/>
        <v>0</v>
      </c>
      <c r="R239" s="107">
        <f t="shared" si="26"/>
        <v>0</v>
      </c>
      <c r="S239" s="107">
        <f t="shared" si="22"/>
        <v>0</v>
      </c>
      <c r="T239" s="107">
        <f t="shared" si="23"/>
        <v>0</v>
      </c>
      <c r="U239" s="107">
        <f t="shared" si="27"/>
        <v>62</v>
      </c>
      <c r="V239" s="107">
        <f t="shared" si="24"/>
        <v>0</v>
      </c>
    </row>
    <row r="240" spans="1:22" ht="55.2" x14ac:dyDescent="0.3">
      <c r="A240" s="4" t="str">
        <f>Questions!$A240</f>
        <v>PRGN-03</v>
      </c>
      <c r="B240" s="4" t="str">
        <f t="shared" si="25"/>
        <v>PRGN</v>
      </c>
      <c r="C240" s="4" t="str">
        <f>VLOOKUP($A240,Questions!$A$3:$L$333,2,0)&amp;""</f>
        <v>Does your solution process personal data regulated by state law(s) (e.g., CCPA)?</v>
      </c>
      <c r="D240" s="4" t="str">
        <f>VLOOKUP($A240,Questions!$A$3:$L$333,11,0)&amp;""</f>
        <v>NA</v>
      </c>
      <c r="E240" s="4" t="str">
        <f>VLOOKUP($A240,Questions!$A$3:$L$333,12,0)&amp;""</f>
        <v>Not scored</v>
      </c>
      <c r="F240" s="4" t="str">
        <f>VLOOKUP($A240,'Privacy Analyst Evaluation'!$A$46:$K$120,3,0)&amp;""</f>
        <v>Yes</v>
      </c>
      <c r="G240" s="4" t="str">
        <f>VLOOKUP($A240,'Privacy Analyst Evaluation'!$A$46:$K$120,7,0)&amp;""</f>
        <v>Not scored</v>
      </c>
      <c r="H240" s="4" t="str">
        <f>VLOOKUP($A240,'Privacy Analyst Evaluation'!$A$46:$K$120,8,0)&amp;""</f>
        <v/>
      </c>
      <c r="I240" s="4" t="str">
        <f>VLOOKUP($A240,'Privacy Analyst Evaluation'!$A$46:$K$120,9,0)&amp;""</f>
        <v/>
      </c>
      <c r="J240" s="4" t="str">
        <f>VLOOKUP($A240,'Privacy Analyst Evaluation'!$A$46:$K$120,10,0)&amp;""</f>
        <v/>
      </c>
      <c r="K240" s="4">
        <f>IF($I240='Auto Responses'!$J$11,20,IF($I240='Auto Responses'!$J$13,5,10))</f>
        <v>10</v>
      </c>
      <c r="L240" s="107" t="str">
        <f>IF($E240='Auto Responses'!$L$13, 'Auto Responses'!$J$5,IF(AND($D240='Auto Responses'!$J$27,$H240=""),'Auto Responses'!$J$5,IF(AND($D240='Auto Responses'!$J$27,$H240='Auto Responses'!$J$7),1,IF(AND($D240='Auto Responses'!$J$27,$H240='Auto Responses'!$J$8),0,IF(OR(AND($F240=$G240,$H240=""),$H240='Auto Responses'!$J$7),1,0)))))</f>
        <v>N/A</v>
      </c>
      <c r="M240" s="4" t="str">
        <f>VLOOKUP($A240,'Privacy Analyst Evaluation'!$A$46:$K$120,11,0)&amp;""</f>
        <v>FALSE</v>
      </c>
      <c r="N240" s="4">
        <f>IF($J240='Auto Responses'!$J$11,1,IF(AND($J240="",$I240='Auto Responses'!$J$11),1,0))</f>
        <v>0</v>
      </c>
      <c r="O240" s="107" t="str">
        <f>IF(OR($E240='Auto Responses'!$L$13,$F$24='Auto Responses'!$J$4,$F240='Auto Responses'!$J$5),'Auto Responses'!$J$5,IF($J240="",$K240,IF($J240='Auto Responses'!$J$13,5,IF($J240='Auto Responses'!$J$12,10,IF($J240='Auto Responses'!$J$11,20,0)))))</f>
        <v>N/A</v>
      </c>
      <c r="P240" s="107" t="str">
        <f>IF(OR($O240='Auto Responses'!$J$5,$L240='Auto Responses'!$J$5),'Auto Responses'!$J$5,$O240*$L240)</f>
        <v>N/A</v>
      </c>
      <c r="Q240" s="107">
        <f t="shared" si="21"/>
        <v>0</v>
      </c>
      <c r="R240" s="107">
        <f t="shared" si="26"/>
        <v>0</v>
      </c>
      <c r="S240" s="107">
        <f t="shared" si="22"/>
        <v>0</v>
      </c>
      <c r="T240" s="107">
        <f t="shared" si="23"/>
        <v>0</v>
      </c>
      <c r="U240" s="107">
        <f t="shared" si="27"/>
        <v>62</v>
      </c>
      <c r="V240" s="107">
        <f t="shared" si="24"/>
        <v>0</v>
      </c>
    </row>
    <row r="241" spans="1:22" ht="55.2" x14ac:dyDescent="0.3">
      <c r="A241" s="4" t="str">
        <f>Questions!$A241</f>
        <v>PRGN-04</v>
      </c>
      <c r="B241" s="4" t="str">
        <f t="shared" si="25"/>
        <v>PRGN</v>
      </c>
      <c r="C241" s="4" t="str">
        <f>VLOOKUP($A241,Questions!$A$3:$L$333,2,0)&amp;""</f>
        <v>Does your solution process user-provided data that may contain regulated information?</v>
      </c>
      <c r="D241" s="4" t="str">
        <f>VLOOKUP($A241,Questions!$A$3:$L$333,11,0)&amp;""</f>
        <v>NA</v>
      </c>
      <c r="E241" s="4" t="str">
        <f>VLOOKUP($A241,Questions!$A$3:$L$333,12,0)&amp;""</f>
        <v>Not scored</v>
      </c>
      <c r="F241" s="4" t="str">
        <f>VLOOKUP($A241,'Privacy Analyst Evaluation'!$A$46:$K$120,3,0)&amp;""</f>
        <v>Yes</v>
      </c>
      <c r="G241" s="4" t="str">
        <f>VLOOKUP($A241,'Privacy Analyst Evaluation'!$A$46:$K$120,7,0)&amp;""</f>
        <v>Not scored</v>
      </c>
      <c r="H241" s="4" t="str">
        <f>VLOOKUP($A241,'Privacy Analyst Evaluation'!$A$46:$K$120,8,0)&amp;""</f>
        <v/>
      </c>
      <c r="I241" s="4" t="str">
        <f>VLOOKUP($A241,'Privacy Analyst Evaluation'!$A$46:$K$120,9,0)&amp;""</f>
        <v/>
      </c>
      <c r="J241" s="4" t="str">
        <f>VLOOKUP($A241,'Privacy Analyst Evaluation'!$A$46:$K$120,10,0)&amp;""</f>
        <v/>
      </c>
      <c r="K241" s="4">
        <f>IF($I241='Auto Responses'!$J$11,20,IF($I241='Auto Responses'!$J$13,5,10))</f>
        <v>10</v>
      </c>
      <c r="L241" s="107" t="str">
        <f>IF($E241='Auto Responses'!$L$13, 'Auto Responses'!$J$5,IF(AND($D241='Auto Responses'!$J$27,$H241=""),'Auto Responses'!$J$5,IF(AND($D241='Auto Responses'!$J$27,$H241='Auto Responses'!$J$7),1,IF(AND($D241='Auto Responses'!$J$27,$H241='Auto Responses'!$J$8),0,IF(OR(AND($F241=$G241,$H241=""),$H241='Auto Responses'!$J$7),1,0)))))</f>
        <v>N/A</v>
      </c>
      <c r="M241" s="4" t="str">
        <f>VLOOKUP($A241,'Privacy Analyst Evaluation'!$A$46:$K$120,11,0)&amp;""</f>
        <v>FALSE</v>
      </c>
      <c r="N241" s="4">
        <f>IF($J241='Auto Responses'!$J$11,1,IF(AND($J241="",$I241='Auto Responses'!$J$11),1,0))</f>
        <v>0</v>
      </c>
      <c r="O241" s="107" t="str">
        <f>IF(OR($E241='Auto Responses'!$L$13,$F$24='Auto Responses'!$J$4,$F241='Auto Responses'!$J$5),'Auto Responses'!$J$5,IF($J241="",$K241,IF($J241='Auto Responses'!$J$13,5,IF($J241='Auto Responses'!$J$12,10,IF($J241='Auto Responses'!$J$11,20,0)))))</f>
        <v>N/A</v>
      </c>
      <c r="P241" s="107" t="str">
        <f>IF(OR($O241='Auto Responses'!$J$5,$L241='Auto Responses'!$J$5),'Auto Responses'!$J$5,$O241*$L241)</f>
        <v>N/A</v>
      </c>
      <c r="Q241" s="107">
        <f t="shared" si="21"/>
        <v>0</v>
      </c>
      <c r="R241" s="107">
        <f t="shared" si="26"/>
        <v>0</v>
      </c>
      <c r="S241" s="107">
        <f t="shared" si="22"/>
        <v>0</v>
      </c>
      <c r="T241" s="107">
        <f t="shared" si="23"/>
        <v>0</v>
      </c>
      <c r="U241" s="107">
        <f t="shared" si="27"/>
        <v>62</v>
      </c>
      <c r="V241" s="107">
        <f t="shared" si="24"/>
        <v>0</v>
      </c>
    </row>
    <row r="242" spans="1:22" ht="55.2" x14ac:dyDescent="0.3">
      <c r="A242" s="4" t="str">
        <f>Questions!$A242</f>
        <v>PRGN-05</v>
      </c>
      <c r="B242" s="4" t="str">
        <f t="shared" si="25"/>
        <v>PRGN</v>
      </c>
      <c r="C242" s="4" t="str">
        <f>VLOOKUP($A242,Questions!$A$3:$L$333,2,0)&amp;""</f>
        <v>Web Link to Product/Service Privacy Notice</v>
      </c>
      <c r="D242" s="4" t="str">
        <f>VLOOKUP($A242,Questions!$A$3:$L$333,11,0)&amp;""</f>
        <v/>
      </c>
      <c r="E242" s="4" t="str">
        <f>VLOOKUP($A242,Questions!$A$3:$L$333,12,0)&amp;""</f>
        <v>Not scored</v>
      </c>
      <c r="F242" s="4" t="str">
        <f>VLOOKUP($A242,'Privacy Analyst Evaluation'!$A$46:$K$120,3,0)&amp;""</f>
        <v>https://cursivetechnology.com/privacy-policy/</v>
      </c>
      <c r="G242" s="4" t="str">
        <f>VLOOKUP($A242,'Privacy Analyst Evaluation'!$A$46:$K$120,7,0)&amp;""</f>
        <v>Not scored</v>
      </c>
      <c r="H242" s="4" t="str">
        <f>VLOOKUP($A242,'Privacy Analyst Evaluation'!$A$46:$K$120,8,0)&amp;""</f>
        <v/>
      </c>
      <c r="I242" s="4" t="str">
        <f>VLOOKUP($A242,'Privacy Analyst Evaluation'!$A$46:$K$120,9,0)&amp;""</f>
        <v/>
      </c>
      <c r="J242" s="4" t="str">
        <f>VLOOKUP($A242,'Privacy Analyst Evaluation'!$A$46:$K$120,10,0)&amp;""</f>
        <v/>
      </c>
      <c r="K242" s="4">
        <f>IF($I242='Auto Responses'!$J$11,20,IF($I242='Auto Responses'!$J$13,5,10))</f>
        <v>10</v>
      </c>
      <c r="L242" s="107" t="str">
        <f>IF($E242='Auto Responses'!$L$13, 'Auto Responses'!$J$5,IF(AND($D242='Auto Responses'!$J$27,$H242=""),'Auto Responses'!$J$5,IF(AND($D242='Auto Responses'!$J$27,$H242='Auto Responses'!$J$7),1,IF(AND($D242='Auto Responses'!$J$27,$H242='Auto Responses'!$J$8),0,IF(OR(AND($F242=$G242,$H242=""),$H242='Auto Responses'!$J$7),1,0)))))</f>
        <v>N/A</v>
      </c>
      <c r="M242" s="4" t="str">
        <f>VLOOKUP($A242,'Privacy Analyst Evaluation'!$A$46:$K$120,11,0)&amp;""</f>
        <v>FALSE</v>
      </c>
      <c r="N242" s="4">
        <f>IF($J242='Auto Responses'!$J$11,1,IF(AND($J242="",$I242='Auto Responses'!$J$11),1,0))</f>
        <v>0</v>
      </c>
      <c r="O242" s="107" t="str">
        <f>IF(OR($E242='Auto Responses'!$L$13,$F$24='Auto Responses'!$J$4,$F242='Auto Responses'!$J$5),'Auto Responses'!$J$5,IF($J242="",$K242,IF($J242='Auto Responses'!$J$13,5,IF($J242='Auto Responses'!$J$12,10,IF($J242='Auto Responses'!$J$11,20,0)))))</f>
        <v>N/A</v>
      </c>
      <c r="P242" s="107" t="str">
        <f>IF(OR($O242='Auto Responses'!$J$5,$L242='Auto Responses'!$J$5),'Auto Responses'!$J$5,$O242*$L242)</f>
        <v>N/A</v>
      </c>
      <c r="Q242" s="107">
        <f t="shared" si="21"/>
        <v>0</v>
      </c>
      <c r="R242" s="107">
        <f t="shared" si="26"/>
        <v>0</v>
      </c>
      <c r="S242" s="107">
        <f t="shared" si="22"/>
        <v>0</v>
      </c>
      <c r="T242" s="107">
        <f t="shared" si="23"/>
        <v>0</v>
      </c>
      <c r="U242" s="107">
        <f t="shared" si="27"/>
        <v>62</v>
      </c>
      <c r="V242" s="107">
        <f t="shared" si="24"/>
        <v>0</v>
      </c>
    </row>
    <row r="243" spans="1:22" ht="55.2" x14ac:dyDescent="0.3">
      <c r="A243" s="4" t="str">
        <f>Questions!$A243</f>
        <v>PCOM-01</v>
      </c>
      <c r="B243" s="4" t="str">
        <f t="shared" si="25"/>
        <v>PCOM</v>
      </c>
      <c r="C243" s="4" t="str">
        <f>VLOOKUP($A243,Questions!$A$3:$L$333,2,0)&amp;""</f>
        <v>Have you had a personal data breach in the past three years that involved reporting to a governmental agency, notice to individuals (including voluntary notice), or notice to another organization or institution?*</v>
      </c>
      <c r="D243" s="4" t="str">
        <f>VLOOKUP($A243,Questions!$A$3:$L$333,11,0)&amp;""</f>
        <v/>
      </c>
      <c r="E243" s="4" t="str">
        <f>VLOOKUP($A243,Questions!$A$3:$L$333,12,0)&amp;""</f>
        <v>Privacy</v>
      </c>
      <c r="F243" s="4" t="str">
        <f>VLOOKUP($A243,'Privacy Analyst Evaluation'!$A$46:$K$120,3,0)&amp;""</f>
        <v>No</v>
      </c>
      <c r="G243" s="4" t="str">
        <f>VLOOKUP($A243,'Privacy Analyst Evaluation'!$A$46:$K$120,7,0)&amp;""</f>
        <v>No</v>
      </c>
      <c r="H243" s="4" t="str">
        <f>VLOOKUP($A243,'Privacy Analyst Evaluation'!$A$46:$K$120,8,0)&amp;""</f>
        <v/>
      </c>
      <c r="I243" s="4" t="str">
        <f>VLOOKUP($A243,'Privacy Analyst Evaluation'!$A$46:$K$120,9,0)&amp;""</f>
        <v>Critical Importance</v>
      </c>
      <c r="J243" s="4" t="str">
        <f>VLOOKUP($A243,'Privacy Analyst Evaluation'!$A$46:$K$120,10,0)&amp;""</f>
        <v/>
      </c>
      <c r="K243" s="4">
        <f>IF($I243='Auto Responses'!$J$11,20,IF($I243='Auto Responses'!$J$13,5,10))</f>
        <v>20</v>
      </c>
      <c r="L243" s="107">
        <f>IF($E243='Auto Responses'!$L$13, 'Auto Responses'!$J$5,IF(AND($D243='Auto Responses'!$J$27,$H243=""),'Auto Responses'!$J$5,IF(AND($D243='Auto Responses'!$J$27,$H243='Auto Responses'!$J$7),1,IF(AND($D243='Auto Responses'!$J$27,$H243='Auto Responses'!$J$8),0,IF(OR(AND($F243=$G243,$H243=""),$H243='Auto Responses'!$J$7),1,0)))))</f>
        <v>1</v>
      </c>
      <c r="M243" s="4" t="str">
        <f>VLOOKUP($A243,'Privacy Analyst Evaluation'!$A$46:$K$120,11,0)&amp;""</f>
        <v>FALSE</v>
      </c>
      <c r="N243" s="4">
        <f>IF($J243='Auto Responses'!$J$11,1,IF(AND($J243="",$I243='Auto Responses'!$J$11),1,0))</f>
        <v>1</v>
      </c>
      <c r="O243" s="107">
        <f>IF(OR($E243='Auto Responses'!$L$13,$F$24='Auto Responses'!$J$4,$F243='Auto Responses'!$J$5),'Auto Responses'!$J$5,IF($J243="",$K243,IF($J243='Auto Responses'!$J$13,5,IF($J243='Auto Responses'!$J$12,10,IF($J243='Auto Responses'!$J$11,20,0)))))</f>
        <v>20</v>
      </c>
      <c r="P243" s="107">
        <f>IF(OR($O243='Auto Responses'!$J$5,$L243='Auto Responses'!$J$5),'Auto Responses'!$J$5,$O243*$L243)</f>
        <v>20</v>
      </c>
      <c r="Q243" s="107">
        <f t="shared" si="21"/>
        <v>0</v>
      </c>
      <c r="R243" s="107">
        <f t="shared" si="26"/>
        <v>0</v>
      </c>
      <c r="S243" s="107">
        <f t="shared" si="22"/>
        <v>0</v>
      </c>
      <c r="T243" s="107">
        <f t="shared" si="23"/>
        <v>1</v>
      </c>
      <c r="U243" s="107">
        <f t="shared" si="27"/>
        <v>63</v>
      </c>
      <c r="V243" s="107">
        <f t="shared" si="24"/>
        <v>63</v>
      </c>
    </row>
    <row r="244" spans="1:22" ht="409.6" x14ac:dyDescent="0.3">
      <c r="A244" s="4" t="str">
        <f>Questions!$A244</f>
        <v>PCOM-02</v>
      </c>
      <c r="B244" s="4" t="str">
        <f t="shared" si="25"/>
        <v>PCOM</v>
      </c>
      <c r="C244" s="4" t="str">
        <f>VLOOKUP($A244,Questions!$A$3:$L$333,2,0)&amp;""</f>
        <v>Use this area to share information about your privacy practices that will assist those who are assessing your company data privacy program.*</v>
      </c>
      <c r="D244" s="4" t="str">
        <f>VLOOKUP($A244,Questions!$A$3:$L$333,11,0)&amp;""</f>
        <v/>
      </c>
      <c r="E244" s="4" t="str">
        <f>VLOOKUP($A244,Questions!$A$3:$L$333,12,0)&amp;""</f>
        <v>Not scored</v>
      </c>
      <c r="F244" s="4" t="str">
        <f>VLOOKUP($A244,'Privacy Analyst Evaluation'!$A$46:$K$120,3,0)&amp;""</f>
        <v>Your prelim answers are right on PCOM-01, -03, and -04. PCOM-02 is the freeform "sell yourself" question and your draft is in the right spirit but has typos and could be sharper — let me clean it up.
PCOM-01 | No*
Cursive has not had a personal data breach in the past three years requiring reporting to a governmental agency, notice to individuals, or notice to another organization or institution.
PCOM-02 | Polished version below*
Cursive's privacy program is built on three foundational principles that go beyond compliance baseline:
(1) Data minimization by architecture, not policy. Cursive's authorship verification operates on writing process telemetry tied to an opaque LMS-issued UUID — no name, email, IP-as-identifier, grade data, demographic information, or other directly identifying personal information is collected. The minimum dataset required to deliver the service is the only dataset Cursive collects.
(2) Local-first storage with transient server-side processing. Institutional data is stored on the client's Moodle LMS or in the writer's browser local storage. Where server-side processing is required, raw keystroke telemetry is processed transiently and deleted after authorship-payload generation; only the processed payload is retained. The browser extension implementation supports a fully local processing mode in which no data leaves the writer's device, providing private-by-default verification.
(3) Behaviometric data treated as sensitive personal information. Cursive captures keystroke biometric data — a documented sensitive personal information category under multiple jurisdictions (Illinois BIPA, GDPR Article 9, PIPL Article 28). This data is encrypted in transit (TLS 1.2+) and at rest (CNSA-grade AES-256), access-controlled via AWS IAM least-privilege, segregated by institution through tenant tagging, and excluded by default from any model-training use absent explicit written contractual agreement with the institution.
Supporting controls: documented Privacy Policy at https://cursivetechnology.com/privacy-policy/; Information Security Policies and Procedures aligned with NIST 800-53 control families; annual privacy and security training for all staff (FERPA 201 + KnowBe4); subprocessor inventory with NDA, IAM-controlled access, and exclusion of institutional data from any AI/ML training; cyber-risk insurance through The Hanover Insurance Group; documented Incident Response Plan with 24-hour breach notification commitment; willingness to sign FERPA school-official addenda and Data Processing Agreements upon institutional request.
Roadmap: formal Data Privacy Impact Assessment (DPIA) for TypeID and standalone AI Governance Policy are scoped for completion in 2026 alongside AWS security certification work and SOC 2 Type 2 attestation.</v>
      </c>
      <c r="G244" s="4" t="str">
        <f>VLOOKUP($A244,'Privacy Analyst Evaluation'!$A$46:$K$120,7,0)&amp;""</f>
        <v>Not scored</v>
      </c>
      <c r="H244" s="4" t="str">
        <f>VLOOKUP($A244,'Privacy Analyst Evaluation'!$A$46:$K$120,8,0)&amp;""</f>
        <v/>
      </c>
      <c r="I244" s="4" t="str">
        <f>VLOOKUP($A244,'Privacy Analyst Evaluation'!$A$46:$K$120,9,0)&amp;""</f>
        <v/>
      </c>
      <c r="J244" s="4" t="str">
        <f>VLOOKUP($A244,'Privacy Analyst Evaluation'!$A$46:$K$120,10,0)&amp;""</f>
        <v/>
      </c>
      <c r="K244" s="4">
        <f>IF($I244='Auto Responses'!$J$11,20,IF($I244='Auto Responses'!$J$13,5,10))</f>
        <v>10</v>
      </c>
      <c r="L244" s="107" t="str">
        <f>IF($E244='Auto Responses'!$L$13, 'Auto Responses'!$J$5,IF(AND($D244='Auto Responses'!$J$27,$H244=""),'Auto Responses'!$J$5,IF(AND($D244='Auto Responses'!$J$27,$H244='Auto Responses'!$J$7),1,IF(AND($D244='Auto Responses'!$J$27,$H244='Auto Responses'!$J$8),0,IF(OR(AND($F244=$G244,$H244=""),$H244='Auto Responses'!$J$7),1,0)))))</f>
        <v>N/A</v>
      </c>
      <c r="M244" s="4" t="str">
        <f>VLOOKUP($A244,'Privacy Analyst Evaluation'!$A$46:$K$120,11,0)&amp;""</f>
        <v>FALSE</v>
      </c>
      <c r="N244" s="4">
        <f>IF($J244='Auto Responses'!$J$11,1,IF(AND($J244="",$I244='Auto Responses'!$J$11),1,0))</f>
        <v>0</v>
      </c>
      <c r="O244" s="107" t="str">
        <f>IF(OR($E244='Auto Responses'!$L$13,$F$24='Auto Responses'!$J$4,$F244='Auto Responses'!$J$5),'Auto Responses'!$J$5,IF($J244="",$K244,IF($J244='Auto Responses'!$J$13,5,IF($J244='Auto Responses'!$J$12,10,IF($J244='Auto Responses'!$J$11,20,0)))))</f>
        <v>N/A</v>
      </c>
      <c r="P244" s="107" t="str">
        <f>IF(OR($O244='Auto Responses'!$J$5,$L244='Auto Responses'!$J$5),'Auto Responses'!$J$5,$O244*$L244)</f>
        <v>N/A</v>
      </c>
      <c r="Q244" s="107">
        <f t="shared" si="21"/>
        <v>0</v>
      </c>
      <c r="R244" s="107">
        <f t="shared" si="26"/>
        <v>0</v>
      </c>
      <c r="S244" s="107">
        <f t="shared" si="22"/>
        <v>0</v>
      </c>
      <c r="T244" s="107">
        <f t="shared" si="23"/>
        <v>0</v>
      </c>
      <c r="U244" s="107">
        <f t="shared" si="27"/>
        <v>63</v>
      </c>
      <c r="V244" s="107">
        <f t="shared" si="24"/>
        <v>0</v>
      </c>
    </row>
    <row r="245" spans="1:22" ht="55.2" x14ac:dyDescent="0.3">
      <c r="A245" s="4" t="str">
        <f>Questions!$A245</f>
        <v>PCOM-03</v>
      </c>
      <c r="B245" s="4" t="str">
        <f t="shared" si="25"/>
        <v>PCOM</v>
      </c>
      <c r="C245" s="4" t="str">
        <f>VLOOKUP($A245,Questions!$A$3:$L$333,2,0)&amp;""</f>
        <v>Have you had any violations of your internal privacy policies or violations of applicable privacy law in the past 36 months?</v>
      </c>
      <c r="D245" s="4" t="str">
        <f>VLOOKUP($A245,Questions!$A$3:$L$333,11,0)&amp;""</f>
        <v/>
      </c>
      <c r="E245" s="4" t="str">
        <f>VLOOKUP($A245,Questions!$A$3:$L$333,12,0)&amp;""</f>
        <v>Privacy</v>
      </c>
      <c r="F245" s="4" t="str">
        <f>VLOOKUP($A245,'Privacy Analyst Evaluation'!$A$46:$K$120,3,0)&amp;""</f>
        <v>No</v>
      </c>
      <c r="G245" s="4" t="str">
        <f>VLOOKUP($A245,'Privacy Analyst Evaluation'!$A$46:$K$120,7,0)&amp;""</f>
        <v>No</v>
      </c>
      <c r="H245" s="4" t="str">
        <f>VLOOKUP($A245,'Privacy Analyst Evaluation'!$A$46:$K$120,8,0)&amp;""</f>
        <v/>
      </c>
      <c r="I245" s="4" t="str">
        <f>VLOOKUP($A245,'Privacy Analyst Evaluation'!$A$46:$K$120,9,0)&amp;""</f>
        <v>Minor Importance</v>
      </c>
      <c r="J245" s="4" t="str">
        <f>VLOOKUP($A245,'Privacy Analyst Evaluation'!$A$46:$K$120,10,0)&amp;""</f>
        <v/>
      </c>
      <c r="K245" s="4">
        <f>IF($I245='Auto Responses'!$J$11,20,IF($I245='Auto Responses'!$J$13,5,10))</f>
        <v>5</v>
      </c>
      <c r="L245" s="107">
        <f>IF($E245='Auto Responses'!$L$13, 'Auto Responses'!$J$5,IF(AND($D245='Auto Responses'!$J$27,$H245=""),'Auto Responses'!$J$5,IF(AND($D245='Auto Responses'!$J$27,$H245='Auto Responses'!$J$7),1,IF(AND($D245='Auto Responses'!$J$27,$H245='Auto Responses'!$J$8),0,IF(OR(AND($F245=$G245,$H245=""),$H245='Auto Responses'!$J$7),1,0)))))</f>
        <v>1</v>
      </c>
      <c r="M245" s="4" t="str">
        <f>VLOOKUP($A245,'Privacy Analyst Evaluation'!$A$46:$K$120,11,0)&amp;""</f>
        <v>FALSE</v>
      </c>
      <c r="N245" s="4">
        <f>IF($J245='Auto Responses'!$J$11,1,IF(AND($J245="",$I245='Auto Responses'!$J$11),1,0))</f>
        <v>0</v>
      </c>
      <c r="O245" s="107">
        <f>IF(OR($E245='Auto Responses'!$L$13,$F$24='Auto Responses'!$J$4,$F245='Auto Responses'!$J$5),'Auto Responses'!$J$5,IF($J245="",$K245,IF($J245='Auto Responses'!$J$13,5,IF($J245='Auto Responses'!$J$12,10,IF($J245='Auto Responses'!$J$11,20,0)))))</f>
        <v>5</v>
      </c>
      <c r="P245" s="107">
        <f>IF(OR($O245='Auto Responses'!$J$5,$L245='Auto Responses'!$J$5),'Auto Responses'!$J$5,$O245*$L245)</f>
        <v>5</v>
      </c>
      <c r="Q245" s="107">
        <f t="shared" si="21"/>
        <v>0</v>
      </c>
      <c r="R245" s="107">
        <f t="shared" si="26"/>
        <v>0</v>
      </c>
      <c r="S245" s="107">
        <f t="shared" si="22"/>
        <v>0</v>
      </c>
      <c r="T245" s="107">
        <f t="shared" si="23"/>
        <v>0</v>
      </c>
      <c r="U245" s="107">
        <f t="shared" si="27"/>
        <v>63</v>
      </c>
      <c r="V245" s="107">
        <f t="shared" si="24"/>
        <v>0</v>
      </c>
    </row>
    <row r="246" spans="1:22" ht="55.2" x14ac:dyDescent="0.3">
      <c r="A246" s="4" t="str">
        <f>Questions!$A246</f>
        <v>PCOM-04</v>
      </c>
      <c r="B246" s="4" t="str">
        <f t="shared" si="25"/>
        <v>PCOM</v>
      </c>
      <c r="C246" s="4" t="str">
        <f>VLOOKUP($A246,Questions!$A$3:$L$333,2,0)&amp;""</f>
        <v>Do you have a dedicated data privacy staff or office?</v>
      </c>
      <c r="D246" s="4" t="str">
        <f>VLOOKUP($A246,Questions!$A$3:$L$333,11,0)&amp;""</f>
        <v/>
      </c>
      <c r="E246" s="4" t="str">
        <f>VLOOKUP($A246,Questions!$A$3:$L$333,12,0)&amp;""</f>
        <v>Privacy</v>
      </c>
      <c r="F246" s="4" t="str">
        <f>VLOOKUP($A246,'Privacy Analyst Evaluation'!$A$46:$K$120,3,0)&amp;""</f>
        <v>No</v>
      </c>
      <c r="G246" s="4" t="str">
        <f>VLOOKUP($A246,'Privacy Analyst Evaluation'!$A$46:$K$120,7,0)&amp;""</f>
        <v>Yes</v>
      </c>
      <c r="H246" s="4" t="str">
        <f>VLOOKUP($A246,'Privacy Analyst Evaluation'!$A$46:$K$120,8,0)&amp;""</f>
        <v/>
      </c>
      <c r="I246" s="4" t="str">
        <f>VLOOKUP($A246,'Privacy Analyst Evaluation'!$A$46:$K$120,9,0)&amp;""</f>
        <v>Minor Importance</v>
      </c>
      <c r="J246" s="4" t="str">
        <f>VLOOKUP($A246,'Privacy Analyst Evaluation'!$A$46:$K$120,10,0)&amp;""</f>
        <v/>
      </c>
      <c r="K246" s="4">
        <f>IF($I246='Auto Responses'!$J$11,20,IF($I246='Auto Responses'!$J$13,5,10))</f>
        <v>5</v>
      </c>
      <c r="L246" s="107">
        <f>IF($E246='Auto Responses'!$L$13, 'Auto Responses'!$J$5,IF(AND($D246='Auto Responses'!$J$27,$H246=""),'Auto Responses'!$J$5,IF(AND($D246='Auto Responses'!$J$27,$H246='Auto Responses'!$J$7),1,IF(AND($D246='Auto Responses'!$J$27,$H246='Auto Responses'!$J$8),0,IF(OR(AND($F246=$G246,$H246=""),$H246='Auto Responses'!$J$7),1,0)))))</f>
        <v>0</v>
      </c>
      <c r="M246" s="4" t="str">
        <f>VLOOKUP($A246,'Privacy Analyst Evaluation'!$A$46:$K$120,11,0)&amp;""</f>
        <v>FALSE</v>
      </c>
      <c r="N246" s="4">
        <f>IF($J246='Auto Responses'!$J$11,1,IF(AND($J246="",$I246='Auto Responses'!$J$11),1,0))</f>
        <v>0</v>
      </c>
      <c r="O246" s="107">
        <f>IF(OR($E246='Auto Responses'!$L$13,$F$24='Auto Responses'!$J$4,$F246='Auto Responses'!$J$5),'Auto Responses'!$J$5,IF($J246="",$K246,IF($J246='Auto Responses'!$J$13,5,IF($J246='Auto Responses'!$J$12,10,IF($J246='Auto Responses'!$J$11,20,0)))))</f>
        <v>5</v>
      </c>
      <c r="P246" s="107">
        <f>IF(OR($O246='Auto Responses'!$J$5,$L246='Auto Responses'!$J$5),'Auto Responses'!$J$5,$O246*$L246)</f>
        <v>0</v>
      </c>
      <c r="Q246" s="107">
        <f t="shared" si="21"/>
        <v>0</v>
      </c>
      <c r="R246" s="107">
        <f t="shared" si="26"/>
        <v>0</v>
      </c>
      <c r="S246" s="107">
        <f t="shared" si="22"/>
        <v>0</v>
      </c>
      <c r="T246" s="107">
        <f t="shared" si="23"/>
        <v>0</v>
      </c>
      <c r="U246" s="107">
        <f t="shared" si="27"/>
        <v>63</v>
      </c>
      <c r="V246" s="107">
        <f t="shared" si="24"/>
        <v>0</v>
      </c>
    </row>
    <row r="247" spans="1:22" ht="55.2" x14ac:dyDescent="0.3">
      <c r="A247" s="4" t="str">
        <f>Questions!$A247</f>
        <v>PDOC-01</v>
      </c>
      <c r="B247" s="4" t="str">
        <f t="shared" si="25"/>
        <v>PDOC</v>
      </c>
      <c r="C247" s="4" t="str">
        <f>VLOOKUP($A247,Questions!$A$3:$L$333,2,0)&amp;""</f>
        <v>If you have completed a SOC 2 audit, does it include the Privacy Trust Service Principle?</v>
      </c>
      <c r="D247" s="4" t="str">
        <f>VLOOKUP($A247,Questions!$A$3:$L$333,11,0)&amp;""</f>
        <v/>
      </c>
      <c r="E247" s="4" t="str">
        <f>VLOOKUP($A247,Questions!$A$3:$L$333,12,0)&amp;""</f>
        <v>Not scored</v>
      </c>
      <c r="F247" s="4" t="str">
        <f>VLOOKUP($A247,'Privacy Analyst Evaluation'!$A$46:$K$120,3,0)&amp;""</f>
        <v>N/A</v>
      </c>
      <c r="G247" s="4" t="str">
        <f>VLOOKUP($A247,'Privacy Analyst Evaluation'!$A$46:$K$120,7,0)&amp;""</f>
        <v>Not scored</v>
      </c>
      <c r="H247" s="4" t="str">
        <f>VLOOKUP($A247,'Privacy Analyst Evaluation'!$A$46:$K$120,8,0)&amp;""</f>
        <v/>
      </c>
      <c r="I247" s="4" t="str">
        <f>VLOOKUP($A247,'Privacy Analyst Evaluation'!$A$46:$K$120,9,0)&amp;""</f>
        <v/>
      </c>
      <c r="J247" s="4" t="str">
        <f>VLOOKUP($A247,'Privacy Analyst Evaluation'!$A$46:$K$120,10,0)&amp;""</f>
        <v/>
      </c>
      <c r="K247" s="4">
        <f>IF($I247='Auto Responses'!$J$11,20,IF($I247='Auto Responses'!$J$13,5,10))</f>
        <v>10</v>
      </c>
      <c r="L247" s="107" t="str">
        <f>IF($E247='Auto Responses'!$L$13, 'Auto Responses'!$J$5,IF(AND($D247='Auto Responses'!$J$27,$H247=""),'Auto Responses'!$J$5,IF(AND($D247='Auto Responses'!$J$27,$H247='Auto Responses'!$J$7),1,IF(AND($D247='Auto Responses'!$J$27,$H247='Auto Responses'!$J$8),0,IF(OR(AND($F247=$G247,$H247=""),$H247='Auto Responses'!$J$7),1,0)))))</f>
        <v>N/A</v>
      </c>
      <c r="M247" s="4" t="str">
        <f>VLOOKUP($A247,'Privacy Analyst Evaluation'!$A$46:$K$120,11,0)&amp;""</f>
        <v>FALSE</v>
      </c>
      <c r="N247" s="4">
        <f>IF($J247='Auto Responses'!$J$11,1,IF(AND($J247="",$I247='Auto Responses'!$J$11),1,0))</f>
        <v>0</v>
      </c>
      <c r="O247" s="107" t="str">
        <f>IF(OR($E247='Auto Responses'!$L$13,$F247='Auto Responses'!$J$5,$F$24='Auto Responses'!$J$4),'Auto Responses'!$J$5,IF($J247="",$K247,IF($J247='Auto Responses'!$J$13,5,IF($J247='Auto Responses'!$J$12,10,IF($J247='Auto Responses'!$J$11,20,0)))))</f>
        <v>N/A</v>
      </c>
      <c r="P247" s="107" t="str">
        <f>IF(OR($O247='Auto Responses'!$J$5,$L247='Auto Responses'!$J$5),'Auto Responses'!$J$5,$O247*$L247)</f>
        <v>N/A</v>
      </c>
      <c r="Q247" s="107">
        <f t="shared" si="21"/>
        <v>0</v>
      </c>
      <c r="R247" s="107">
        <f t="shared" si="26"/>
        <v>0</v>
      </c>
      <c r="S247" s="107">
        <f t="shared" si="22"/>
        <v>0</v>
      </c>
      <c r="T247" s="107">
        <f t="shared" si="23"/>
        <v>0</v>
      </c>
      <c r="U247" s="107">
        <f t="shared" si="27"/>
        <v>63</v>
      </c>
      <c r="V247" s="107">
        <f t="shared" si="24"/>
        <v>0</v>
      </c>
    </row>
    <row r="248" spans="1:22" ht="55.2" x14ac:dyDescent="0.3">
      <c r="A248" s="4" t="str">
        <f>Questions!$A248</f>
        <v>PDOC-02</v>
      </c>
      <c r="B248" s="4" t="str">
        <f t="shared" si="25"/>
        <v>PDOC</v>
      </c>
      <c r="C248" s="4" t="str">
        <f>VLOOKUP($A248,Questions!$A$3:$L$333,2,0)&amp;""</f>
        <v>Do you conform with a specific industry-standard privacy framework (e.g., NIST Privacy Framework, GDPR, ISO 27701)?</v>
      </c>
      <c r="D248" s="4" t="str">
        <f>VLOOKUP($A248,Questions!$A$3:$L$333,11,0)&amp;""</f>
        <v/>
      </c>
      <c r="E248" s="4" t="str">
        <f>VLOOKUP($A248,Questions!$A$3:$L$333,12,0)&amp;""</f>
        <v>Not scored</v>
      </c>
      <c r="F248" s="4" t="str">
        <f>VLOOKUP($A248,'Privacy Analyst Evaluation'!$A$46:$K$120,3,0)&amp;""</f>
        <v>No</v>
      </c>
      <c r="G248" s="4" t="str">
        <f>VLOOKUP($A248,'Privacy Analyst Evaluation'!$A$46:$K$120,7,0)&amp;""</f>
        <v>Not scored</v>
      </c>
      <c r="H248" s="4" t="str">
        <f>VLOOKUP($A248,'Privacy Analyst Evaluation'!$A$46:$K$120,8,0)&amp;""</f>
        <v/>
      </c>
      <c r="I248" s="4" t="str">
        <f>VLOOKUP($A248,'Privacy Analyst Evaluation'!$A$46:$K$120,9,0)&amp;""</f>
        <v/>
      </c>
      <c r="J248" s="4" t="str">
        <f>VLOOKUP($A248,'Privacy Analyst Evaluation'!$A$46:$K$120,10,0)&amp;""</f>
        <v/>
      </c>
      <c r="K248" s="4">
        <f>IF($I248='Auto Responses'!$J$11,20,IF($I248='Auto Responses'!$J$13,5,10))</f>
        <v>10</v>
      </c>
      <c r="L248" s="107" t="str">
        <f>IF($E248='Auto Responses'!$L$13, 'Auto Responses'!$J$5,IF(AND($D248='Auto Responses'!$J$27,$H248=""),'Auto Responses'!$J$5,IF(AND($D248='Auto Responses'!$J$27,$H248='Auto Responses'!$J$7),1,IF(AND($D248='Auto Responses'!$J$27,$H248='Auto Responses'!$J$8),0,IF(OR(AND($F248=$G248,$H248=""),$H248='Auto Responses'!$J$7),1,0)))))</f>
        <v>N/A</v>
      </c>
      <c r="M248" s="4" t="str">
        <f>VLOOKUP($A248,'Privacy Analyst Evaluation'!$A$46:$K$120,11,0)&amp;""</f>
        <v>FALSE</v>
      </c>
      <c r="N248" s="4">
        <f>IF($J248='Auto Responses'!$J$11,1,IF(AND($J248="",$I248='Auto Responses'!$J$11),1,0))</f>
        <v>0</v>
      </c>
      <c r="O248" s="107" t="str">
        <f>IF(OR($E248='Auto Responses'!$L$13,$F248='Auto Responses'!$J$5,$F$24='Auto Responses'!$J$4),'Auto Responses'!$J$5,IF($J248="",$K248,IF($J248='Auto Responses'!$J$13,5,IF($J248='Auto Responses'!$J$12,10,IF($J248='Auto Responses'!$J$11,20,0)))))</f>
        <v>N/A</v>
      </c>
      <c r="P248" s="107" t="str">
        <f>IF(OR($O248='Auto Responses'!$J$5,$L248='Auto Responses'!$J$5),'Auto Responses'!$J$5,$O248*$L248)</f>
        <v>N/A</v>
      </c>
      <c r="Q248" s="107">
        <f t="shared" si="21"/>
        <v>0</v>
      </c>
      <c r="R248" s="107">
        <f t="shared" si="26"/>
        <v>0</v>
      </c>
      <c r="S248" s="107">
        <f t="shared" si="22"/>
        <v>0</v>
      </c>
      <c r="T248" s="107">
        <f t="shared" si="23"/>
        <v>0</v>
      </c>
      <c r="U248" s="107">
        <f t="shared" si="27"/>
        <v>63</v>
      </c>
      <c r="V248" s="107">
        <f t="shared" si="24"/>
        <v>0</v>
      </c>
    </row>
    <row r="249" spans="1:22" ht="55.2" x14ac:dyDescent="0.3">
      <c r="A249" s="4" t="str">
        <f>Questions!$A249</f>
        <v>PDOC-03</v>
      </c>
      <c r="B249" s="4" t="str">
        <f t="shared" si="25"/>
        <v>PDOC</v>
      </c>
      <c r="C249" s="4" t="str">
        <f>VLOOKUP($A249,Questions!$A$3:$L$333,2,0)&amp;""</f>
        <v>Does your employee onboarding and offboarding policy include training of employees on information security and data privacy?</v>
      </c>
      <c r="D249" s="4" t="str">
        <f>VLOOKUP($A249,Questions!$A$3:$L$333,11,0)&amp;""</f>
        <v/>
      </c>
      <c r="E249" s="4" t="str">
        <f>VLOOKUP($A249,Questions!$A$3:$L$333,12,0)&amp;""</f>
        <v>Privacy</v>
      </c>
      <c r="F249" s="4" t="str">
        <f>VLOOKUP($A249,'Privacy Analyst Evaluation'!$A$46:$K$120,3,0)&amp;""</f>
        <v>Yes</v>
      </c>
      <c r="G249" s="4" t="str">
        <f>VLOOKUP($A249,'Privacy Analyst Evaluation'!$A$46:$K$120,7,0)&amp;""</f>
        <v>Yes</v>
      </c>
      <c r="H249" s="4" t="str">
        <f>VLOOKUP($A249,'Privacy Analyst Evaluation'!$A$46:$K$120,8,0)&amp;""</f>
        <v/>
      </c>
      <c r="I249" s="4" t="str">
        <f>VLOOKUP($A249,'Privacy Analyst Evaluation'!$A$46:$K$120,9,0)&amp;""</f>
        <v>Standard Importance</v>
      </c>
      <c r="J249" s="4" t="str">
        <f>VLOOKUP($A249,'Privacy Analyst Evaluation'!$A$46:$K$120,10,0)&amp;""</f>
        <v/>
      </c>
      <c r="K249" s="4">
        <f>IF($I249='Auto Responses'!$J$11,20,IF($I249='Auto Responses'!$J$13,5,10))</f>
        <v>10</v>
      </c>
      <c r="L249" s="107">
        <f>IF($E249='Auto Responses'!$L$13, 'Auto Responses'!$J$5,IF(AND($D249='Auto Responses'!$J$27,$H249=""),'Auto Responses'!$J$5,IF(AND($D249='Auto Responses'!$J$27,$H249='Auto Responses'!$J$7),1,IF(AND($D249='Auto Responses'!$J$27,$H249='Auto Responses'!$J$8),0,IF(OR(AND($F249=$G249,$H249=""),$H249='Auto Responses'!$J$7),1,0)))))</f>
        <v>1</v>
      </c>
      <c r="M249" s="4" t="str">
        <f>VLOOKUP($A249,'Privacy Analyst Evaluation'!$A$46:$K$120,11,0)&amp;""</f>
        <v>FALSE</v>
      </c>
      <c r="N249" s="4">
        <f>IF($J249='Auto Responses'!$J$11,1,IF(AND($J249="",$I249='Auto Responses'!$J$11),1,0))</f>
        <v>0</v>
      </c>
      <c r="O249" s="107">
        <f>IF(OR($E249='Auto Responses'!$L$13,$F249='Auto Responses'!$J$5,$F$24='Auto Responses'!$J$4),'Auto Responses'!$J$5,IF($J249="",$K249,IF($J249='Auto Responses'!$J$13,5,IF($J249='Auto Responses'!$J$12,10,IF($J249='Auto Responses'!$J$11,20,0)))))</f>
        <v>10</v>
      </c>
      <c r="P249" s="107">
        <f>IF(OR($O249='Auto Responses'!$J$5,$L249='Auto Responses'!$J$5),'Auto Responses'!$J$5,$O249*$L249)</f>
        <v>10</v>
      </c>
      <c r="Q249" s="107">
        <f t="shared" si="21"/>
        <v>0</v>
      </c>
      <c r="R249" s="107">
        <f t="shared" si="26"/>
        <v>0</v>
      </c>
      <c r="S249" s="107">
        <f t="shared" si="22"/>
        <v>0</v>
      </c>
      <c r="T249" s="107">
        <f t="shared" si="23"/>
        <v>0</v>
      </c>
      <c r="U249" s="107">
        <f t="shared" si="27"/>
        <v>63</v>
      </c>
      <c r="V249" s="107">
        <f t="shared" si="24"/>
        <v>0</v>
      </c>
    </row>
    <row r="250" spans="1:22" ht="55.2" x14ac:dyDescent="0.3">
      <c r="A250" s="4" t="str">
        <f>Questions!$A250</f>
        <v>PTHP-01</v>
      </c>
      <c r="B250" s="4" t="str">
        <f t="shared" si="25"/>
        <v>PTHP</v>
      </c>
      <c r="C250" s="4" t="str">
        <f>VLOOKUP($A250,Questions!$A$3:$L$333,2,0)&amp;""</f>
        <v>Do you have contractual agreements with third parties that require them to maintain standards and to comply with all regulatory requirements?*</v>
      </c>
      <c r="D250" s="4" t="str">
        <f>VLOOKUP($A250,Questions!$A$3:$L$333,11,0)&amp;""</f>
        <v/>
      </c>
      <c r="E250" s="4" t="str">
        <f>VLOOKUP($A250,Questions!$A$3:$L$333,12,0)&amp;""</f>
        <v>Privacy</v>
      </c>
      <c r="F250" s="4" t="str">
        <f>VLOOKUP($A250,'Privacy Analyst Evaluation'!$A$46:$K$120,3,0)&amp;""</f>
        <v>Yes</v>
      </c>
      <c r="G250" s="4" t="str">
        <f>VLOOKUP($A250,'Privacy Analyst Evaluation'!$A$46:$K$120,7,0)&amp;""</f>
        <v>Yes</v>
      </c>
      <c r="H250" s="4" t="str">
        <f>VLOOKUP($A250,'Privacy Analyst Evaluation'!$A$46:$K$120,8,0)&amp;""</f>
        <v/>
      </c>
      <c r="I250" s="4" t="str">
        <f>VLOOKUP($A250,'Privacy Analyst Evaluation'!$A$46:$K$120,9,0)&amp;""</f>
        <v>Critical Importance</v>
      </c>
      <c r="J250" s="4" t="str">
        <f>VLOOKUP($A250,'Privacy Analyst Evaluation'!$A$46:$K$120,10,0)&amp;""</f>
        <v/>
      </c>
      <c r="K250" s="4">
        <f>IF($I250='Auto Responses'!$J$11,20,IF($I250='Auto Responses'!$J$13,5,10))</f>
        <v>20</v>
      </c>
      <c r="L250" s="107">
        <f>IF($E250='Auto Responses'!$L$13, 'Auto Responses'!$J$5,IF(AND($D250='Auto Responses'!$J$27,$H250=""),'Auto Responses'!$J$5,IF(AND($D250='Auto Responses'!$J$27,$H250='Auto Responses'!$J$7),1,IF(AND($D250='Auto Responses'!$J$27,$H250='Auto Responses'!$J$8),0,IF(OR(AND($F250=$G250,$H250=""),$H250='Auto Responses'!$J$7),1,0)))))</f>
        <v>1</v>
      </c>
      <c r="M250" s="4" t="str">
        <f>VLOOKUP($A250,'Privacy Analyst Evaluation'!$A$46:$K$120,11,0)&amp;""</f>
        <v>FALSE</v>
      </c>
      <c r="N250" s="4">
        <f>IF($J250='Auto Responses'!$J$11,1,IF(AND($J250="",$I250='Auto Responses'!$J$11),1,0))</f>
        <v>1</v>
      </c>
      <c r="O250" s="107">
        <f>IF(OR($E250='Auto Responses'!$L$13,$F$24='Auto Responses'!$J$4,$F250='Auto Responses'!$J$5),'Auto Responses'!$J$5,IF($J250="",$K250,IF($J250='Auto Responses'!$J$13,5,IF($J250='Auto Responses'!$J$12,10,IF($J250='Auto Responses'!$J$11,20,0)))))</f>
        <v>20</v>
      </c>
      <c r="P250" s="107">
        <f>IF(OR($O250='Auto Responses'!$J$5,$L250='Auto Responses'!$J$5),'Auto Responses'!$J$5,$O250*$L250)</f>
        <v>20</v>
      </c>
      <c r="Q250" s="107">
        <f t="shared" si="21"/>
        <v>0</v>
      </c>
      <c r="R250" s="107">
        <f t="shared" si="26"/>
        <v>0</v>
      </c>
      <c r="S250" s="107">
        <f t="shared" si="22"/>
        <v>0</v>
      </c>
      <c r="T250" s="107">
        <f t="shared" si="23"/>
        <v>1</v>
      </c>
      <c r="U250" s="107">
        <f t="shared" si="27"/>
        <v>64</v>
      </c>
      <c r="V250" s="107">
        <f t="shared" si="24"/>
        <v>64</v>
      </c>
    </row>
    <row r="251" spans="1:22" ht="69" x14ac:dyDescent="0.3">
      <c r="A251" s="4" t="str">
        <f>Questions!$A251</f>
        <v>PTHP-02</v>
      </c>
      <c r="B251" s="4" t="str">
        <f t="shared" si="25"/>
        <v>PTHP</v>
      </c>
      <c r="C251" s="4" t="str">
        <f>VLOOKUP($A251,Questions!$A$3:$L$333,2,0)&amp;""</f>
        <v>Do you perform privacy impact assessments of third parties that collect, process, or have access to personal data to ensure they meet industry and regulatory standards and to mitigate harmful, unethical, or discriminatory impacts on data subjects?</v>
      </c>
      <c r="D251" s="4" t="str">
        <f>VLOOKUP($A251,Questions!$A$3:$L$333,11,0)&amp;""</f>
        <v/>
      </c>
      <c r="E251" s="4" t="str">
        <f>VLOOKUP($A251,Questions!$A$3:$L$333,12,0)&amp;""</f>
        <v>Privacy</v>
      </c>
      <c r="F251" s="4" t="str">
        <f>VLOOKUP($A251,'Privacy Analyst Evaluation'!$A$46:$K$120,3,0)&amp;""</f>
        <v>No</v>
      </c>
      <c r="G251" s="4" t="str">
        <f>VLOOKUP($A251,'Privacy Analyst Evaluation'!$A$46:$K$120,7,0)&amp;""</f>
        <v>Yes</v>
      </c>
      <c r="H251" s="4" t="str">
        <f>VLOOKUP($A251,'Privacy Analyst Evaluation'!$A$46:$K$120,8,0)&amp;""</f>
        <v/>
      </c>
      <c r="I251" s="4" t="str">
        <f>VLOOKUP($A251,'Privacy Analyst Evaluation'!$A$46:$K$120,9,0)&amp;""</f>
        <v>Minor Importance</v>
      </c>
      <c r="J251" s="4" t="str">
        <f>VLOOKUP($A251,'Privacy Analyst Evaluation'!$A$46:$K$120,10,0)&amp;""</f>
        <v/>
      </c>
      <c r="K251" s="4">
        <f>IF($I251='Auto Responses'!$J$11,20,IF($I251='Auto Responses'!$J$13,5,10))</f>
        <v>5</v>
      </c>
      <c r="L251" s="107">
        <f>IF($E251='Auto Responses'!$L$13, 'Auto Responses'!$J$5,IF(AND($D251='Auto Responses'!$J$27,$H251=""),'Auto Responses'!$J$5,IF(AND($D251='Auto Responses'!$J$27,$H251='Auto Responses'!$J$7),1,IF(AND($D251='Auto Responses'!$J$27,$H251='Auto Responses'!$J$8),0,IF(OR(AND($F251=$G251,$H251=""),$H251='Auto Responses'!$J$7),1,0)))))</f>
        <v>0</v>
      </c>
      <c r="M251" s="4" t="str">
        <f>VLOOKUP($A251,'Privacy Analyst Evaluation'!$A$46:$K$120,11,0)&amp;""</f>
        <v>FALSE</v>
      </c>
      <c r="N251" s="4">
        <f>IF($J251='Auto Responses'!$J$11,1,IF(AND($J251="",$I251='Auto Responses'!$J$11),1,0))</f>
        <v>0</v>
      </c>
      <c r="O251" s="107">
        <f>IF(OR($E251='Auto Responses'!$L$13,$F$24='Auto Responses'!$J$4,$F251='Auto Responses'!$J$5),'Auto Responses'!$J$5,IF($J251="",$K251,IF($J251='Auto Responses'!$J$13,5,IF($J251='Auto Responses'!$J$12,10,IF($J251='Auto Responses'!$J$11,20,0)))))</f>
        <v>5</v>
      </c>
      <c r="P251" s="107">
        <f>IF(OR($O251='Auto Responses'!$J$5,$L251='Auto Responses'!$J$5),'Auto Responses'!$J$5,$O251*$L251)</f>
        <v>0</v>
      </c>
      <c r="Q251" s="107">
        <f t="shared" si="21"/>
        <v>0</v>
      </c>
      <c r="R251" s="107">
        <f t="shared" si="26"/>
        <v>0</v>
      </c>
      <c r="S251" s="107">
        <f t="shared" si="22"/>
        <v>0</v>
      </c>
      <c r="T251" s="107">
        <f t="shared" si="23"/>
        <v>0</v>
      </c>
      <c r="U251" s="107">
        <f t="shared" si="27"/>
        <v>64</v>
      </c>
      <c r="V251" s="107">
        <f t="shared" si="24"/>
        <v>0</v>
      </c>
    </row>
    <row r="252" spans="1:22" ht="55.2" x14ac:dyDescent="0.3">
      <c r="A252" s="4" t="str">
        <f>Questions!$A252</f>
        <v>PCHG-01</v>
      </c>
      <c r="B252" s="4" t="str">
        <f t="shared" si="25"/>
        <v>PCHG</v>
      </c>
      <c r="C252" s="4" t="str">
        <f>VLOOKUP($A252,Questions!$A$3:$L$333,2,0)&amp;""</f>
        <v>Does your change management process include privacy review and approval?</v>
      </c>
      <c r="D252" s="4" t="str">
        <f>VLOOKUP($A252,Questions!$A$3:$L$333,11,0)&amp;""</f>
        <v/>
      </c>
      <c r="E252" s="4" t="str">
        <f>VLOOKUP($A252,Questions!$A$3:$L$333,12,0)&amp;""</f>
        <v>Privacy</v>
      </c>
      <c r="F252" s="4" t="str">
        <f>VLOOKUP($A252,'Privacy Analyst Evaluation'!$A$46:$K$120,3,0)&amp;""</f>
        <v>Yes</v>
      </c>
      <c r="G252" s="4" t="str">
        <f>VLOOKUP($A252,'Privacy Analyst Evaluation'!$A$46:$K$120,7,0)&amp;""</f>
        <v>Yes</v>
      </c>
      <c r="H252" s="4" t="str">
        <f>VLOOKUP($A252,'Privacy Analyst Evaluation'!$A$46:$K$120,8,0)&amp;""</f>
        <v/>
      </c>
      <c r="I252" s="4" t="str">
        <f>VLOOKUP($A252,'Privacy Analyst Evaluation'!$A$46:$K$120,9,0)&amp;""</f>
        <v>Standard Importance</v>
      </c>
      <c r="J252" s="4" t="str">
        <f>VLOOKUP($A252,'Privacy Analyst Evaluation'!$A$46:$K$120,10,0)&amp;""</f>
        <v/>
      </c>
      <c r="K252" s="4">
        <f>IF($I252='Auto Responses'!$J$11,20,IF($I252='Auto Responses'!$J$13,5,10))</f>
        <v>10</v>
      </c>
      <c r="L252" s="107">
        <f>IF($E252='Auto Responses'!$L$13, 'Auto Responses'!$J$5,IF(AND($D252='Auto Responses'!$J$27,$H252=""),'Auto Responses'!$J$5,IF(AND($D252='Auto Responses'!$J$27,$H252='Auto Responses'!$J$7),1,IF(AND($D252='Auto Responses'!$J$27,$H252='Auto Responses'!$J$8),0,IF(OR(AND($F252=$G252,$H252=""),$H252='Auto Responses'!$J$7),1,0)))))</f>
        <v>1</v>
      </c>
      <c r="M252" s="4" t="str">
        <f>VLOOKUP($A252,'Privacy Analyst Evaluation'!$A$46:$K$120,11,0)&amp;""</f>
        <v>FALSE</v>
      </c>
      <c r="N252" s="4">
        <f>IF($J252='Auto Responses'!$J$11,1,IF(AND($J252="",$I252='Auto Responses'!$J$11),1,0))</f>
        <v>0</v>
      </c>
      <c r="O252" s="107">
        <f>IF(OR($E252='Auto Responses'!$L$13,$F$24='Auto Responses'!$J$4,$F252='Auto Responses'!$J$5),'Auto Responses'!$J$5,IF($J252="",$K252,IF($J252='Auto Responses'!$J$13,5,IF($J252='Auto Responses'!$J$12,10,IF($J252='Auto Responses'!$J$11,20,0)))))</f>
        <v>10</v>
      </c>
      <c r="P252" s="107">
        <f>IF(OR($O252='Auto Responses'!$J$5,$L252='Auto Responses'!$J$5),'Auto Responses'!$J$5,$O252*$L252)</f>
        <v>10</v>
      </c>
      <c r="Q252" s="107">
        <f t="shared" si="21"/>
        <v>0</v>
      </c>
      <c r="R252" s="107">
        <f t="shared" si="26"/>
        <v>0</v>
      </c>
      <c r="S252" s="107">
        <f t="shared" si="22"/>
        <v>0</v>
      </c>
      <c r="T252" s="107">
        <f t="shared" si="23"/>
        <v>0</v>
      </c>
      <c r="U252" s="107">
        <f t="shared" si="27"/>
        <v>64</v>
      </c>
      <c r="V252" s="107">
        <f t="shared" si="24"/>
        <v>0</v>
      </c>
    </row>
    <row r="253" spans="1:22" ht="55.2" x14ac:dyDescent="0.3">
      <c r="A253" s="4" t="str">
        <f>Questions!$A253</f>
        <v>PCHG-02</v>
      </c>
      <c r="B253" s="4" t="str">
        <f t="shared" si="25"/>
        <v>PCHG</v>
      </c>
      <c r="C253" s="4" t="str">
        <f>VLOOKUP($A253,Questions!$A$3:$L$333,2,0)&amp;""</f>
        <v>Do you have policy and procedure, currently implemented, guiding how privacy risks are mitigated until they can be resolved?</v>
      </c>
      <c r="D253" s="4" t="str">
        <f>VLOOKUP($A253,Questions!$A$3:$L$333,11,0)&amp;""</f>
        <v/>
      </c>
      <c r="E253" s="4" t="str">
        <f>VLOOKUP($A253,Questions!$A$3:$L$333,12,0)&amp;""</f>
        <v>Privacy</v>
      </c>
      <c r="F253" s="4" t="str">
        <f>VLOOKUP($A253,'Privacy Analyst Evaluation'!$A$46:$K$120,3,0)&amp;""</f>
        <v>Yes</v>
      </c>
      <c r="G253" s="4" t="str">
        <f>VLOOKUP($A253,'Privacy Analyst Evaluation'!$A$46:$K$120,7,0)&amp;""</f>
        <v>Yes</v>
      </c>
      <c r="H253" s="4" t="str">
        <f>VLOOKUP($A253,'Privacy Analyst Evaluation'!$A$46:$K$120,8,0)&amp;""</f>
        <v/>
      </c>
      <c r="I253" s="4" t="str">
        <f>VLOOKUP($A253,'Privacy Analyst Evaluation'!$A$46:$K$120,9,0)&amp;""</f>
        <v>Minor Importance</v>
      </c>
      <c r="J253" s="4" t="str">
        <f>VLOOKUP($A253,'Privacy Analyst Evaluation'!$A$46:$K$120,10,0)&amp;""</f>
        <v/>
      </c>
      <c r="K253" s="4">
        <f>IF($I253='Auto Responses'!$J$11,20,IF($I253='Auto Responses'!$J$13,5,10))</f>
        <v>5</v>
      </c>
      <c r="L253" s="107">
        <f>IF($E253='Auto Responses'!$L$13, 'Auto Responses'!$J$5,IF(AND($D253='Auto Responses'!$J$27,$H253=""),'Auto Responses'!$J$5,IF(AND($D253='Auto Responses'!$J$27,$H253='Auto Responses'!$J$7),1,IF(AND($D253='Auto Responses'!$J$27,$H253='Auto Responses'!$J$8),0,IF(OR(AND($F253=$G253,$H253=""),$H253='Auto Responses'!$J$7),1,0)))))</f>
        <v>1</v>
      </c>
      <c r="M253" s="4" t="str">
        <f>VLOOKUP($A253,'Privacy Analyst Evaluation'!$A$46:$K$120,11,0)&amp;""</f>
        <v>FALSE</v>
      </c>
      <c r="N253" s="4">
        <f>IF($J253='Auto Responses'!$J$11,1,IF(AND($J253="",$I253='Auto Responses'!$J$11),1,0))</f>
        <v>0</v>
      </c>
      <c r="O253" s="107">
        <f>IF(OR($E253='Auto Responses'!$L$13,$F$24='Auto Responses'!$J$4,$F253='Auto Responses'!$J$5),'Auto Responses'!$J$5,IF($J253="",$K253,IF($J253='Auto Responses'!$J$13,5,IF($J253='Auto Responses'!$J$12,10,IF($J253='Auto Responses'!$J$11,20,0)))))</f>
        <v>5</v>
      </c>
      <c r="P253" s="107">
        <f>IF(OR($O253='Auto Responses'!$J$5,$L253='Auto Responses'!$J$5),'Auto Responses'!$J$5,$O253*$L253)</f>
        <v>5</v>
      </c>
      <c r="Q253" s="107">
        <f t="shared" si="21"/>
        <v>0</v>
      </c>
      <c r="R253" s="107">
        <f t="shared" si="26"/>
        <v>0</v>
      </c>
      <c r="S253" s="107">
        <f t="shared" si="22"/>
        <v>0</v>
      </c>
      <c r="T253" s="107">
        <f t="shared" si="23"/>
        <v>0</v>
      </c>
      <c r="U253" s="107">
        <f t="shared" si="27"/>
        <v>64</v>
      </c>
      <c r="V253" s="107">
        <f t="shared" si="24"/>
        <v>0</v>
      </c>
    </row>
    <row r="254" spans="1:22" ht="55.2" x14ac:dyDescent="0.3">
      <c r="A254" s="4" t="str">
        <f>Questions!$A254</f>
        <v>PDAT-01</v>
      </c>
      <c r="B254" s="4" t="str">
        <f t="shared" si="25"/>
        <v>PDAT</v>
      </c>
      <c r="C254" s="4" t="str">
        <f>VLOOKUP($A254,Questions!$A$3:$L$333,2,0)&amp;""</f>
        <v>Do you collect, process, or store demographic information?*</v>
      </c>
      <c r="D254" s="4" t="str">
        <f>VLOOKUP($A254,Questions!$A$3:$L$333,11,0)&amp;""</f>
        <v/>
      </c>
      <c r="E254" s="4" t="str">
        <f>VLOOKUP($A254,Questions!$A$3:$L$333,12,0)&amp;""</f>
        <v>Privacy</v>
      </c>
      <c r="F254" s="4" t="str">
        <f>VLOOKUP($A254,'Privacy Analyst Evaluation'!$A$46:$K$120,3,0)&amp;""</f>
        <v>No</v>
      </c>
      <c r="G254" s="4" t="str">
        <f>VLOOKUP($A254,'Privacy Analyst Evaluation'!$A$46:$K$120,7,0)&amp;""</f>
        <v>No</v>
      </c>
      <c r="H254" s="4" t="str">
        <f>VLOOKUP($A254,'Privacy Analyst Evaluation'!$A$46:$K$120,8,0)&amp;""</f>
        <v/>
      </c>
      <c r="I254" s="4" t="str">
        <f>VLOOKUP($A254,'Privacy Analyst Evaluation'!$A$46:$K$120,9,0)&amp;""</f>
        <v>Critical Importance</v>
      </c>
      <c r="J254" s="4" t="str">
        <f>VLOOKUP($A254,'Privacy Analyst Evaluation'!$A$46:$K$120,10,0)&amp;""</f>
        <v/>
      </c>
      <c r="K254" s="4">
        <f>IF($I254='Auto Responses'!$J$11,20,IF($I254='Auto Responses'!$J$13,5,10))</f>
        <v>20</v>
      </c>
      <c r="L254" s="107">
        <f>IF($E254='Auto Responses'!$L$13, 'Auto Responses'!$J$5,IF(AND($D254='Auto Responses'!$J$27,$H254=""),'Auto Responses'!$J$5,IF(AND($D254='Auto Responses'!$J$27,$H254='Auto Responses'!$J$7),1,IF(AND($D254='Auto Responses'!$J$27,$H254='Auto Responses'!$J$8),0,IF(OR(AND($F254=$G254,$H254=""),$H254='Auto Responses'!$J$7),1,0)))))</f>
        <v>1</v>
      </c>
      <c r="M254" s="4" t="str">
        <f>VLOOKUP($A254,'Privacy Analyst Evaluation'!$A$46:$K$120,11,0)&amp;""</f>
        <v>FALSE</v>
      </c>
      <c r="N254" s="4">
        <f>IF($J254='Auto Responses'!$J$11,1,IF(AND($J254="",$I254='Auto Responses'!$J$11),1,0))</f>
        <v>1</v>
      </c>
      <c r="O254" s="107">
        <f>IF(OR($E254='Auto Responses'!$L$13,$F$24='Auto Responses'!$J$4,$F254='Auto Responses'!$J$5),'Auto Responses'!$J$5,IF($J254="",$K254,IF($J254='Auto Responses'!$J$13,5,IF($J254='Auto Responses'!$J$12,10,IF($J254='Auto Responses'!$J$11,20,0)))))</f>
        <v>20</v>
      </c>
      <c r="P254" s="107">
        <f>IF(OR($O254='Auto Responses'!$J$5,$L254='Auto Responses'!$J$5),'Auto Responses'!$J$5,$O254*$L254)</f>
        <v>20</v>
      </c>
      <c r="Q254" s="107">
        <f t="shared" ref="Q254:Q316" si="32">IF(M254="TRUE",1,0)</f>
        <v>0</v>
      </c>
      <c r="R254" s="107">
        <f t="shared" si="26"/>
        <v>0</v>
      </c>
      <c r="S254" s="107">
        <f t="shared" ref="S254:S316" si="33">IF(Q254=0,0,R254)</f>
        <v>0</v>
      </c>
      <c r="T254" s="107">
        <f t="shared" ref="T254:T316" si="34">IF(N254=1,1,0)</f>
        <v>1</v>
      </c>
      <c r="U254" s="107">
        <f t="shared" si="27"/>
        <v>65</v>
      </c>
      <c r="V254" s="107">
        <f t="shared" ref="V254:V316" si="35">IF(T254=0,0,U254)</f>
        <v>65</v>
      </c>
    </row>
    <row r="255" spans="1:22" ht="55.2" x14ac:dyDescent="0.3">
      <c r="A255" s="4" t="str">
        <f>Questions!$A255</f>
        <v>PDAT-02</v>
      </c>
      <c r="B255" s="4" t="str">
        <f t="shared" ref="B255:B317" si="36">LEFT(A255,4)</f>
        <v>PDAT</v>
      </c>
      <c r="C255" s="4" t="str">
        <f>VLOOKUP($A255,Questions!$A$3:$L$333,2,0)&amp;""</f>
        <v>Do you capture or create genetic, biometric, or behaviometric information (e.g., facial recognition or fingerprints)?*</v>
      </c>
      <c r="D255" s="4" t="str">
        <f>VLOOKUP($A255,Questions!$A$3:$L$333,11,0)&amp;""</f>
        <v/>
      </c>
      <c r="E255" s="4" t="str">
        <f>VLOOKUP($A255,Questions!$A$3:$L$333,12,0)&amp;""</f>
        <v>Privacy</v>
      </c>
      <c r="F255" s="4" t="str">
        <f>VLOOKUP($A255,'Privacy Analyst Evaluation'!$A$46:$K$120,3,0)&amp;""</f>
        <v>Yes</v>
      </c>
      <c r="G255" s="4" t="str">
        <f>VLOOKUP($A255,'Privacy Analyst Evaluation'!$A$46:$K$120,7,0)&amp;""</f>
        <v>No</v>
      </c>
      <c r="H255" s="4" t="str">
        <f>VLOOKUP($A255,'Privacy Analyst Evaluation'!$A$46:$K$120,8,0)&amp;""</f>
        <v/>
      </c>
      <c r="I255" s="4" t="str">
        <f>VLOOKUP($A255,'Privacy Analyst Evaluation'!$A$46:$K$120,9,0)&amp;""</f>
        <v>Critical Importance</v>
      </c>
      <c r="J255" s="4" t="str">
        <f>VLOOKUP($A255,'Privacy Analyst Evaluation'!$A$46:$K$120,10,0)&amp;""</f>
        <v/>
      </c>
      <c r="K255" s="4">
        <f>IF($I255='Auto Responses'!$J$11,20,IF($I255='Auto Responses'!$J$13,5,10))</f>
        <v>20</v>
      </c>
      <c r="L255" s="107">
        <f>IF($E255='Auto Responses'!$L$13, 'Auto Responses'!$J$5,IF(AND($D255='Auto Responses'!$J$27,$H255=""),'Auto Responses'!$J$5,IF(AND($D255='Auto Responses'!$J$27,$H255='Auto Responses'!$J$7),1,IF(AND($D255='Auto Responses'!$J$27,$H255='Auto Responses'!$J$8),0,IF(OR(AND($F255=$G255,$H255=""),$H255='Auto Responses'!$J$7),1,0)))))</f>
        <v>0</v>
      </c>
      <c r="M255" s="4" t="str">
        <f>VLOOKUP($A255,'Privacy Analyst Evaluation'!$A$46:$K$120,11,0)&amp;""</f>
        <v>FALSE</v>
      </c>
      <c r="N255" s="4">
        <f>IF($J255='Auto Responses'!$J$11,1,IF(AND($J255="",$I255='Auto Responses'!$J$11),1,0))</f>
        <v>1</v>
      </c>
      <c r="O255" s="107">
        <f>IF(OR($E255='Auto Responses'!$L$13,$F$24='Auto Responses'!$J$4,$F255='Auto Responses'!$J$5),'Auto Responses'!$J$5,IF($J255="",$K255,IF($J255='Auto Responses'!$J$13,5,IF($J255='Auto Responses'!$J$12,10,IF($J255='Auto Responses'!$J$11,20,0)))))</f>
        <v>20</v>
      </c>
      <c r="P255" s="107">
        <f>IF(OR($O255='Auto Responses'!$J$5,$L255='Auto Responses'!$J$5),'Auto Responses'!$J$5,$O255*$L255)</f>
        <v>0</v>
      </c>
      <c r="Q255" s="107">
        <f t="shared" si="32"/>
        <v>0</v>
      </c>
      <c r="R255" s="107">
        <f t="shared" si="26"/>
        <v>0</v>
      </c>
      <c r="S255" s="107">
        <f t="shared" si="33"/>
        <v>0</v>
      </c>
      <c r="T255" s="107">
        <f t="shared" si="34"/>
        <v>1</v>
      </c>
      <c r="U255" s="107">
        <f t="shared" si="27"/>
        <v>66</v>
      </c>
      <c r="V255" s="107">
        <f t="shared" si="35"/>
        <v>66</v>
      </c>
    </row>
    <row r="256" spans="1:22" ht="55.2" x14ac:dyDescent="0.3">
      <c r="A256" s="4" t="str">
        <f>Questions!$A256</f>
        <v>PDAT-03</v>
      </c>
      <c r="B256" s="4" t="str">
        <f t="shared" si="36"/>
        <v>PDAT</v>
      </c>
      <c r="C256" s="4" t="str">
        <f>VLOOKUP($A256,Questions!$A$3:$L$333,2,0)&amp;""</f>
        <v>Do you combine institutional data (including "de-identified," "anonymized," or otherwise masked data) with personal data from any other sources?*</v>
      </c>
      <c r="D256" s="4" t="str">
        <f>VLOOKUP($A256,Questions!$A$3:$L$333,11,0)&amp;""</f>
        <v/>
      </c>
      <c r="E256" s="4" t="str">
        <f>VLOOKUP($A256,Questions!$A$3:$L$333,12,0)&amp;""</f>
        <v>Privacy</v>
      </c>
      <c r="F256" s="4" t="str">
        <f>VLOOKUP($A256,'Privacy Analyst Evaluation'!$A$46:$K$120,3,0)&amp;""</f>
        <v>No</v>
      </c>
      <c r="G256" s="4" t="str">
        <f>VLOOKUP($A256,'Privacy Analyst Evaluation'!$A$46:$K$120,7,0)&amp;""</f>
        <v>No</v>
      </c>
      <c r="H256" s="4" t="str">
        <f>VLOOKUP($A256,'Privacy Analyst Evaluation'!$A$46:$K$120,8,0)&amp;""</f>
        <v/>
      </c>
      <c r="I256" s="4" t="str">
        <f>VLOOKUP($A256,'Privacy Analyst Evaluation'!$A$46:$K$120,9,0)&amp;""</f>
        <v>Critical Importance</v>
      </c>
      <c r="J256" s="4" t="str">
        <f>VLOOKUP($A256,'Privacy Analyst Evaluation'!$A$46:$K$120,10,0)&amp;""</f>
        <v/>
      </c>
      <c r="K256" s="4">
        <f>IF($I256='Auto Responses'!$J$11,20,IF($I256='Auto Responses'!$J$13,5,10))</f>
        <v>20</v>
      </c>
      <c r="L256" s="107">
        <f>IF($E256='Auto Responses'!$L$13, 'Auto Responses'!$J$5,IF(AND($D256='Auto Responses'!$J$27,$H256=""),'Auto Responses'!$J$5,IF(AND($D256='Auto Responses'!$J$27,$H256='Auto Responses'!$J$7),1,IF(AND($D256='Auto Responses'!$J$27,$H256='Auto Responses'!$J$8),0,IF(OR(AND($F256=$G256,$H256=""),$H256='Auto Responses'!$J$7),1,0)))))</f>
        <v>1</v>
      </c>
      <c r="M256" s="4" t="str">
        <f>VLOOKUP($A256,'Privacy Analyst Evaluation'!$A$46:$K$120,11,0)&amp;""</f>
        <v>FALSE</v>
      </c>
      <c r="N256" s="4">
        <f>IF($J256='Auto Responses'!$J$11,1,IF(AND($J256="",$I256='Auto Responses'!$J$11),1,0))</f>
        <v>1</v>
      </c>
      <c r="O256" s="107">
        <f>IF(OR($E256='Auto Responses'!$L$13,$F$24='Auto Responses'!$J$4,$F256='Auto Responses'!$J$5),'Auto Responses'!$J$5,IF($J256="",$K256,IF($J256='Auto Responses'!$J$13,5,IF($J256='Auto Responses'!$J$12,10,IF($J256='Auto Responses'!$J$11,20,0)))))</f>
        <v>20</v>
      </c>
      <c r="P256" s="107">
        <f>IF(OR($O256='Auto Responses'!$J$5,$L256='Auto Responses'!$J$5),'Auto Responses'!$J$5,$O256*$L256)</f>
        <v>20</v>
      </c>
      <c r="Q256" s="107">
        <f t="shared" si="32"/>
        <v>0</v>
      </c>
      <c r="R256" s="107">
        <f t="shared" si="26"/>
        <v>0</v>
      </c>
      <c r="S256" s="107">
        <f t="shared" si="33"/>
        <v>0</v>
      </c>
      <c r="T256" s="107">
        <f t="shared" si="34"/>
        <v>1</v>
      </c>
      <c r="U256" s="107">
        <f t="shared" si="27"/>
        <v>67</v>
      </c>
      <c r="V256" s="107">
        <f t="shared" si="35"/>
        <v>67</v>
      </c>
    </row>
    <row r="257" spans="1:22" ht="55.2" x14ac:dyDescent="0.3">
      <c r="A257" s="4" t="str">
        <f>Questions!$A257</f>
        <v>PDAT-04</v>
      </c>
      <c r="B257" s="4" t="str">
        <f t="shared" si="36"/>
        <v>PDAT</v>
      </c>
      <c r="C257" s="4" t="str">
        <f>VLOOKUP($A257,Questions!$A$3:$L$333,2,0)&amp;""</f>
        <v>Is institutional data coming into or going out of the United States at any point during collection, processing, storage, or archiving?</v>
      </c>
      <c r="D257" s="4" t="str">
        <f>VLOOKUP($A257,Questions!$A$3:$L$333,11,0)&amp;""</f>
        <v/>
      </c>
      <c r="E257" s="4" t="str">
        <f>VLOOKUP($A257,Questions!$A$3:$L$333,12,0)&amp;""</f>
        <v>Privacy</v>
      </c>
      <c r="F257" s="4" t="str">
        <f>VLOOKUP($A257,'Privacy Analyst Evaluation'!$A$46:$K$120,3,0)&amp;""</f>
        <v>Yes</v>
      </c>
      <c r="G257" s="4" t="str">
        <f>VLOOKUP($A257,'Privacy Analyst Evaluation'!$A$46:$K$120,7,0)&amp;""</f>
        <v>No</v>
      </c>
      <c r="H257" s="4" t="str">
        <f>VLOOKUP($A257,'Privacy Analyst Evaluation'!$A$46:$K$120,8,0)&amp;""</f>
        <v/>
      </c>
      <c r="I257" s="4" t="str">
        <f>VLOOKUP($A257,'Privacy Analyst Evaluation'!$A$46:$K$120,9,0)&amp;""</f>
        <v>Minor Importance</v>
      </c>
      <c r="J257" s="4" t="str">
        <f>VLOOKUP($A257,'Privacy Analyst Evaluation'!$A$46:$K$120,10,0)&amp;""</f>
        <v/>
      </c>
      <c r="K257" s="4">
        <f>IF($I257='Auto Responses'!$J$11,20,IF($I257='Auto Responses'!$J$13,5,10))</f>
        <v>5</v>
      </c>
      <c r="L257" s="107">
        <f>IF($E257='Auto Responses'!$L$13, 'Auto Responses'!$J$5,IF(AND($D257='Auto Responses'!$J$27,$H257=""),'Auto Responses'!$J$5,IF(AND($D257='Auto Responses'!$J$27,$H257='Auto Responses'!$J$7),1,IF(AND($D257='Auto Responses'!$J$27,$H257='Auto Responses'!$J$8),0,IF(OR(AND($F257=$G257,$H257=""),$H257='Auto Responses'!$J$7),1,0)))))</f>
        <v>0</v>
      </c>
      <c r="M257" s="4" t="str">
        <f>VLOOKUP($A257,'Privacy Analyst Evaluation'!$A$46:$K$120,11,0)&amp;""</f>
        <v>FALSE</v>
      </c>
      <c r="N257" s="4">
        <f>IF($J257='Auto Responses'!$J$11,1,IF(AND($J257="",$I257='Auto Responses'!$J$11),1,0))</f>
        <v>0</v>
      </c>
      <c r="O257" s="107">
        <f>IF(OR($E257='Auto Responses'!$L$13,$F$24='Auto Responses'!$J$4,$F257='Auto Responses'!$J$5),'Auto Responses'!$J$5,IF($J257="",$K257,IF($J257='Auto Responses'!$J$13,5,IF($J257='Auto Responses'!$J$12,10,IF($J257='Auto Responses'!$J$11,20,0)))))</f>
        <v>5</v>
      </c>
      <c r="P257" s="107">
        <f>IF(OR($O257='Auto Responses'!$J$5,$L257='Auto Responses'!$J$5),'Auto Responses'!$J$5,$O257*$L257)</f>
        <v>0</v>
      </c>
      <c r="Q257" s="107">
        <f t="shared" si="32"/>
        <v>0</v>
      </c>
      <c r="R257" s="107">
        <f t="shared" si="26"/>
        <v>0</v>
      </c>
      <c r="S257" s="107">
        <f t="shared" si="33"/>
        <v>0</v>
      </c>
      <c r="T257" s="107">
        <f t="shared" si="34"/>
        <v>0</v>
      </c>
      <c r="U257" s="107">
        <f t="shared" si="27"/>
        <v>67</v>
      </c>
      <c r="V257" s="107">
        <f t="shared" si="35"/>
        <v>0</v>
      </c>
    </row>
    <row r="258" spans="1:22" ht="55.2" x14ac:dyDescent="0.3">
      <c r="A258" s="4" t="str">
        <f>Questions!$A258</f>
        <v>PDAT-05</v>
      </c>
      <c r="B258" s="4" t="str">
        <f t="shared" si="36"/>
        <v>PDAT</v>
      </c>
      <c r="C258" s="4" t="str">
        <f>VLOOKUP($A258,Questions!$A$3:$L$333,2,0)&amp;""</f>
        <v>Do you capture device information (e.g., IP address, MAC address)?</v>
      </c>
      <c r="D258" s="4" t="str">
        <f>VLOOKUP($A258,Questions!$A$3:$L$333,11,0)&amp;""</f>
        <v/>
      </c>
      <c r="E258" s="4" t="str">
        <f>VLOOKUP($A258,Questions!$A$3:$L$333,12,0)&amp;""</f>
        <v>Privacy</v>
      </c>
      <c r="F258" s="4" t="str">
        <f>VLOOKUP($A258,'Privacy Analyst Evaluation'!$A$46:$K$120,3,0)&amp;""</f>
        <v>No</v>
      </c>
      <c r="G258" s="4" t="str">
        <f>VLOOKUP($A258,'Privacy Analyst Evaluation'!$A$46:$K$120,7,0)&amp;""</f>
        <v>No</v>
      </c>
      <c r="H258" s="4" t="str">
        <f>VLOOKUP($A258,'Privacy Analyst Evaluation'!$A$46:$K$120,8,0)&amp;""</f>
        <v/>
      </c>
      <c r="I258" s="4" t="str">
        <f>VLOOKUP($A258,'Privacy Analyst Evaluation'!$A$46:$K$120,9,0)&amp;""</f>
        <v>Minor Importance</v>
      </c>
      <c r="J258" s="4" t="str">
        <f>VLOOKUP($A258,'Privacy Analyst Evaluation'!$A$46:$K$120,10,0)&amp;""</f>
        <v/>
      </c>
      <c r="K258" s="4">
        <f>IF($I258='Auto Responses'!$J$11,20,IF($I258='Auto Responses'!$J$13,5,10))</f>
        <v>5</v>
      </c>
      <c r="L258" s="107">
        <f>IF($E258='Auto Responses'!$L$13, 'Auto Responses'!$J$5,IF(AND($D258='Auto Responses'!$J$27,$H258=""),'Auto Responses'!$J$5,IF(AND($D258='Auto Responses'!$J$27,$H258='Auto Responses'!$J$7),1,IF(AND($D258='Auto Responses'!$J$27,$H258='Auto Responses'!$J$8),0,IF(OR(AND($F258=$G258,$H258=""),$H258='Auto Responses'!$J$7),1,0)))))</f>
        <v>1</v>
      </c>
      <c r="M258" s="4" t="str">
        <f>VLOOKUP($A258,'Privacy Analyst Evaluation'!$A$46:$K$120,11,0)&amp;""</f>
        <v>FALSE</v>
      </c>
      <c r="N258" s="4">
        <f>IF($J258='Auto Responses'!$J$11,1,IF(AND($J258="",$I258='Auto Responses'!$J$11),1,0))</f>
        <v>0</v>
      </c>
      <c r="O258" s="107">
        <f>IF(OR($E258='Auto Responses'!$L$13,$F$24='Auto Responses'!$J$4,$F258='Auto Responses'!$J$5),'Auto Responses'!$J$5,IF($J258="",$K258,IF($J258='Auto Responses'!$J$13,5,IF($J258='Auto Responses'!$J$12,10,IF($J258='Auto Responses'!$J$11,20,0)))))</f>
        <v>5</v>
      </c>
      <c r="P258" s="107">
        <f>IF(OR($O258='Auto Responses'!$J$5,$L258='Auto Responses'!$J$5),'Auto Responses'!$J$5,$O258*$L258)</f>
        <v>5</v>
      </c>
      <c r="Q258" s="107">
        <f t="shared" si="32"/>
        <v>0</v>
      </c>
      <c r="R258" s="107">
        <f t="shared" si="26"/>
        <v>0</v>
      </c>
      <c r="S258" s="107">
        <f t="shared" si="33"/>
        <v>0</v>
      </c>
      <c r="T258" s="107">
        <f t="shared" si="34"/>
        <v>0</v>
      </c>
      <c r="U258" s="107">
        <f t="shared" si="27"/>
        <v>67</v>
      </c>
      <c r="V258" s="107">
        <f t="shared" si="35"/>
        <v>0</v>
      </c>
    </row>
    <row r="259" spans="1:22" ht="55.2" x14ac:dyDescent="0.3">
      <c r="A259" s="4" t="str">
        <f>Questions!$A259</f>
        <v>PDAT-06</v>
      </c>
      <c r="B259" s="4" t="str">
        <f t="shared" si="36"/>
        <v>PDAT</v>
      </c>
      <c r="C259" s="4" t="str">
        <f>VLOOKUP($A259,Questions!$A$3:$L$333,2,0)&amp;""</f>
        <v>Does any part of this service/project involve a web/app tracking component (e.g., use of web-tracking pixels, cookies)?</v>
      </c>
      <c r="D259" s="4" t="str">
        <f>VLOOKUP($A259,Questions!$A$3:$L$333,11,0)&amp;""</f>
        <v/>
      </c>
      <c r="E259" s="4" t="str">
        <f>VLOOKUP($A259,Questions!$A$3:$L$333,12,0)&amp;""</f>
        <v>Privacy</v>
      </c>
      <c r="F259" s="4" t="str">
        <f>VLOOKUP($A259,'Privacy Analyst Evaluation'!$A$46:$K$120,3,0)&amp;""</f>
        <v>No</v>
      </c>
      <c r="G259" s="4" t="str">
        <f>VLOOKUP($A259,'Privacy Analyst Evaluation'!$A$46:$K$120,7,0)&amp;""</f>
        <v>No</v>
      </c>
      <c r="H259" s="4" t="str">
        <f>VLOOKUP($A259,'Privacy Analyst Evaluation'!$A$46:$K$120,8,0)&amp;""</f>
        <v/>
      </c>
      <c r="I259" s="4" t="str">
        <f>VLOOKUP($A259,'Privacy Analyst Evaluation'!$A$46:$K$120,9,0)&amp;""</f>
        <v>Minor Importance</v>
      </c>
      <c r="J259" s="4" t="str">
        <f>VLOOKUP($A259,'Privacy Analyst Evaluation'!$A$46:$K$120,10,0)&amp;""</f>
        <v/>
      </c>
      <c r="K259" s="4">
        <f>IF($I259='Auto Responses'!$J$11,20,IF($I259='Auto Responses'!$J$13,5,10))</f>
        <v>5</v>
      </c>
      <c r="L259" s="107">
        <f>IF($E259='Auto Responses'!$L$13, 'Auto Responses'!$J$5,IF(AND($D259='Auto Responses'!$J$27,$H259=""),'Auto Responses'!$J$5,IF(AND($D259='Auto Responses'!$J$27,$H259='Auto Responses'!$J$7),1,IF(AND($D259='Auto Responses'!$J$27,$H259='Auto Responses'!$J$8),0,IF(OR(AND($F259=$G259,$H259=""),$H259='Auto Responses'!$J$7),1,0)))))</f>
        <v>1</v>
      </c>
      <c r="M259" s="4" t="str">
        <f>VLOOKUP($A259,'Privacy Analyst Evaluation'!$A$46:$K$120,11,0)&amp;""</f>
        <v>FALSE</v>
      </c>
      <c r="N259" s="4">
        <f>IF($J259='Auto Responses'!$J$11,1,IF(AND($J259="",$I259='Auto Responses'!$J$11),1,0))</f>
        <v>0</v>
      </c>
      <c r="O259" s="107">
        <f>IF(OR($E259='Auto Responses'!$L$13,$F$24='Auto Responses'!$J$4,$F259='Auto Responses'!$J$5),'Auto Responses'!$J$5,IF($J259="",$K259,IF($J259='Auto Responses'!$J$13,5,IF($J259='Auto Responses'!$J$12,10,IF($J259='Auto Responses'!$J$11,20,0)))))</f>
        <v>5</v>
      </c>
      <c r="P259" s="107">
        <f>IF(OR($O259='Auto Responses'!$J$5,$L259='Auto Responses'!$J$5),'Auto Responses'!$J$5,$O259*$L259)</f>
        <v>5</v>
      </c>
      <c r="Q259" s="107">
        <f t="shared" si="32"/>
        <v>0</v>
      </c>
      <c r="R259" s="107">
        <f t="shared" si="26"/>
        <v>0</v>
      </c>
      <c r="S259" s="107">
        <f t="shared" si="33"/>
        <v>0</v>
      </c>
      <c r="T259" s="107">
        <f t="shared" si="34"/>
        <v>0</v>
      </c>
      <c r="U259" s="107">
        <f t="shared" si="27"/>
        <v>67</v>
      </c>
      <c r="V259" s="107">
        <f t="shared" si="35"/>
        <v>0</v>
      </c>
    </row>
    <row r="260" spans="1:22" ht="55.2" x14ac:dyDescent="0.3">
      <c r="A260" s="4" t="str">
        <f>Questions!$A260</f>
        <v>PDAT-07</v>
      </c>
      <c r="B260" s="4" t="str">
        <f t="shared" si="36"/>
        <v>PDAT</v>
      </c>
      <c r="C260" s="4" t="str">
        <f>VLOOKUP($A260,Questions!$A$3:$L$333,2,0)&amp;""</f>
        <v>Does your staff (or a third party) have access to institutional data (e.g., financial, PHI, or other sensitive information) through any means?</v>
      </c>
      <c r="D260" s="4" t="str">
        <f>VLOOKUP($A260,Questions!$A$3:$L$333,11,0)&amp;""</f>
        <v/>
      </c>
      <c r="E260" s="4" t="str">
        <f>VLOOKUP($A260,Questions!$A$3:$L$333,12,0)&amp;""</f>
        <v>Privacy</v>
      </c>
      <c r="F260" s="4" t="str">
        <f>VLOOKUP($A260,'Privacy Analyst Evaluation'!$A$46:$K$120,3,0)&amp;""</f>
        <v>No</v>
      </c>
      <c r="G260" s="4" t="str">
        <f>VLOOKUP($A260,'Privacy Analyst Evaluation'!$A$46:$K$120,7,0)&amp;""</f>
        <v>No</v>
      </c>
      <c r="H260" s="4" t="str">
        <f>VLOOKUP($A260,'Privacy Analyst Evaluation'!$A$46:$K$120,8,0)&amp;""</f>
        <v/>
      </c>
      <c r="I260" s="4" t="str">
        <f>VLOOKUP($A260,'Privacy Analyst Evaluation'!$A$46:$K$120,9,0)&amp;""</f>
        <v>Minor Importance</v>
      </c>
      <c r="J260" s="4" t="str">
        <f>VLOOKUP($A260,'Privacy Analyst Evaluation'!$A$46:$K$120,10,0)&amp;""</f>
        <v/>
      </c>
      <c r="K260" s="4">
        <f>IF($I260='Auto Responses'!$J$11,20,IF($I260='Auto Responses'!$J$13,5,10))</f>
        <v>5</v>
      </c>
      <c r="L260" s="107">
        <f>IF($E260='Auto Responses'!$L$13, 'Auto Responses'!$J$5,IF(AND($D260='Auto Responses'!$J$27,$H260=""),'Auto Responses'!$J$5,IF(AND($D260='Auto Responses'!$J$27,$H260='Auto Responses'!$J$7),1,IF(AND($D260='Auto Responses'!$J$27,$H260='Auto Responses'!$J$8),0,IF(OR(AND($F260=$G260,$H260=""),$H260='Auto Responses'!$J$7),1,0)))))</f>
        <v>1</v>
      </c>
      <c r="M260" s="4" t="str">
        <f>VLOOKUP($A260,'Privacy Analyst Evaluation'!$A$46:$K$120,11,0)&amp;""</f>
        <v>FALSE</v>
      </c>
      <c r="N260" s="4">
        <f>IF($J260='Auto Responses'!$J$11,1,IF(AND($J260="",$I260='Auto Responses'!$J$11),1,0))</f>
        <v>0</v>
      </c>
      <c r="O260" s="107">
        <f>IF(OR($E260='Auto Responses'!$L$13,$F$24='Auto Responses'!$J$4,$F260='Auto Responses'!$J$5),'Auto Responses'!$J$5,IF($J260="",$K260,IF($J260='Auto Responses'!$J$13,5,IF($J260='Auto Responses'!$J$12,10,IF($J260='Auto Responses'!$J$11,20,0)))))</f>
        <v>5</v>
      </c>
      <c r="P260" s="107">
        <f>IF(OR($O260='Auto Responses'!$J$5,$L260='Auto Responses'!$J$5),'Auto Responses'!$J$5,$O260*$L260)</f>
        <v>5</v>
      </c>
      <c r="Q260" s="107">
        <f t="shared" si="32"/>
        <v>0</v>
      </c>
      <c r="R260" s="107">
        <f t="shared" si="26"/>
        <v>0</v>
      </c>
      <c r="S260" s="107">
        <f t="shared" si="33"/>
        <v>0</v>
      </c>
      <c r="T260" s="107">
        <f t="shared" si="34"/>
        <v>0</v>
      </c>
      <c r="U260" s="107">
        <f t="shared" si="27"/>
        <v>67</v>
      </c>
      <c r="V260" s="107">
        <f t="shared" si="35"/>
        <v>0</v>
      </c>
    </row>
    <row r="261" spans="1:22" ht="55.2" x14ac:dyDescent="0.3">
      <c r="A261" s="4" t="str">
        <f>Questions!$A261</f>
        <v>PDAT-08</v>
      </c>
      <c r="B261" s="4" t="str">
        <f t="shared" si="36"/>
        <v>PDAT</v>
      </c>
      <c r="C261" s="4" t="str">
        <f>VLOOKUP($A261,Questions!$A$3:$L$333,2,0)&amp;""</f>
        <v>Will you handle personal data in a manner compliant with all relevant laws, regulations, and applicable institution policies?</v>
      </c>
      <c r="D261" s="4" t="str">
        <f>VLOOKUP($A261,Questions!$A$3:$L$333,11,0)&amp;""</f>
        <v/>
      </c>
      <c r="E261" s="4" t="str">
        <f>VLOOKUP($A261,Questions!$A$3:$L$333,12,0)&amp;""</f>
        <v>Not scored</v>
      </c>
      <c r="F261" s="4" t="str">
        <f>VLOOKUP($A261,'Privacy Analyst Evaluation'!$A$46:$K$120,3,0)&amp;""</f>
        <v>Yes</v>
      </c>
      <c r="G261" s="4" t="str">
        <f>VLOOKUP($A261,'Privacy Analyst Evaluation'!$A$46:$K$120,7,0)&amp;""</f>
        <v>Not scored</v>
      </c>
      <c r="H261" s="4" t="str">
        <f>VLOOKUP($A261,'Privacy Analyst Evaluation'!$A$46:$K$120,8,0)&amp;""</f>
        <v/>
      </c>
      <c r="I261" s="4" t="str">
        <f>VLOOKUP($A261,'Privacy Analyst Evaluation'!$A$46:$K$120,9,0)&amp;""</f>
        <v/>
      </c>
      <c r="J261" s="4" t="str">
        <f>VLOOKUP($A261,'Privacy Analyst Evaluation'!$A$46:$K$120,10,0)&amp;""</f>
        <v/>
      </c>
      <c r="K261" s="4">
        <f>IF($I261='Auto Responses'!$J$11,20,IF($I261='Auto Responses'!$J$13,5,10))</f>
        <v>10</v>
      </c>
      <c r="L261" s="107" t="str">
        <f>IF($E261='Auto Responses'!$L$13, 'Auto Responses'!$J$5,IF(AND($D261='Auto Responses'!$J$27,$H261=""),'Auto Responses'!$J$5,IF(AND($D261='Auto Responses'!$J$27,$H261='Auto Responses'!$J$7),1,IF(AND($D261='Auto Responses'!$J$27,$H261='Auto Responses'!$J$8),0,IF(OR(AND($F261=$G261,$H261=""),$H261='Auto Responses'!$J$7),1,0)))))</f>
        <v>N/A</v>
      </c>
      <c r="M261" s="4" t="str">
        <f>VLOOKUP($A261,'Privacy Analyst Evaluation'!$A$46:$K$120,11,0)&amp;""</f>
        <v>FALSE</v>
      </c>
      <c r="N261" s="4">
        <f>IF($J261='Auto Responses'!$J$11,1,IF(AND($J261="",$I261='Auto Responses'!$J$11),1,0))</f>
        <v>0</v>
      </c>
      <c r="O261" s="107" t="str">
        <f>IF(OR($E261='Auto Responses'!$L$13,$F$24='Auto Responses'!$J$4,$F261='Auto Responses'!$J$5),'Auto Responses'!$J$5,IF($J261="",$K261,IF($J261='Auto Responses'!$J$13,5,IF($J261='Auto Responses'!$J$12,10,IF($J261='Auto Responses'!$J$11,20,0)))))</f>
        <v>N/A</v>
      </c>
      <c r="P261" s="107" t="str">
        <f>IF(OR($O261='Auto Responses'!$J$5,$L261='Auto Responses'!$J$5),'Auto Responses'!$J$5,$O261*$L261)</f>
        <v>N/A</v>
      </c>
      <c r="Q261" s="107">
        <f t="shared" si="32"/>
        <v>0</v>
      </c>
      <c r="R261" s="107">
        <f t="shared" ref="R261:R324" si="37">R260+Q261</f>
        <v>0</v>
      </c>
      <c r="S261" s="107">
        <f t="shared" si="33"/>
        <v>0</v>
      </c>
      <c r="T261" s="107">
        <f t="shared" si="34"/>
        <v>0</v>
      </c>
      <c r="U261" s="107">
        <f t="shared" ref="U261:U324" si="38">U260+T261</f>
        <v>67</v>
      </c>
      <c r="V261" s="107">
        <f t="shared" si="35"/>
        <v>0</v>
      </c>
    </row>
    <row r="262" spans="1:22" ht="55.2" x14ac:dyDescent="0.3">
      <c r="A262" s="4" t="str">
        <f>Questions!$A262</f>
        <v>PRPO-01</v>
      </c>
      <c r="B262" s="4" t="str">
        <f t="shared" si="36"/>
        <v>PRPO</v>
      </c>
      <c r="C262" s="4" t="str">
        <f>VLOOKUP($A262,Questions!$A$3:$L$333,2,0)&amp;""</f>
        <v>Do you have a documented privacy management process?</v>
      </c>
      <c r="D262" s="4" t="str">
        <f>VLOOKUP($A262,Questions!$A$3:$L$333,11,0)&amp;""</f>
        <v/>
      </c>
      <c r="E262" s="4" t="str">
        <f>VLOOKUP($A262,Questions!$A$3:$L$333,12,0)&amp;""</f>
        <v>Privacy</v>
      </c>
      <c r="F262" s="4" t="str">
        <f>VLOOKUP($A262,'Privacy Analyst Evaluation'!$A$46:$K$120,3,0)&amp;""</f>
        <v>Yes</v>
      </c>
      <c r="G262" s="4" t="str">
        <f>VLOOKUP($A262,'Privacy Analyst Evaluation'!$A$46:$K$120,7,0)&amp;""</f>
        <v>Yes</v>
      </c>
      <c r="H262" s="4" t="str">
        <f>VLOOKUP($A262,'Privacy Analyst Evaluation'!$A$46:$K$120,8,0)&amp;""</f>
        <v/>
      </c>
      <c r="I262" s="4" t="str">
        <f>VLOOKUP($A262,'Privacy Analyst Evaluation'!$A$46:$K$120,9,0)&amp;""</f>
        <v>Minor Importance</v>
      </c>
      <c r="J262" s="4" t="str">
        <f>VLOOKUP($A262,'Privacy Analyst Evaluation'!$A$46:$K$120,10,0)&amp;""</f>
        <v/>
      </c>
      <c r="K262" s="4">
        <f>IF($I262='Auto Responses'!$J$11,20,IF($I262='Auto Responses'!$J$13,5,10))</f>
        <v>5</v>
      </c>
      <c r="L262" s="107">
        <f>IF($E262='Auto Responses'!$L$13, 'Auto Responses'!$J$5,IF(AND($D262='Auto Responses'!$J$27,$H262=""),'Auto Responses'!$J$5,IF(AND($D262='Auto Responses'!$J$27,$H262='Auto Responses'!$J$7),1,IF(AND($D262='Auto Responses'!$J$27,$H262='Auto Responses'!$J$8),0,IF(OR(AND($F262=$G262,$H262=""),$H262='Auto Responses'!$J$7),1,0)))))</f>
        <v>1</v>
      </c>
      <c r="M262" s="4" t="str">
        <f>VLOOKUP($A262,'Privacy Analyst Evaluation'!$A$46:$K$120,11,0)&amp;""</f>
        <v>FALSE</v>
      </c>
      <c r="N262" s="4">
        <f>IF($J262='Auto Responses'!$J$11,1,IF(AND($J262="",$I262='Auto Responses'!$J$11),1,0))</f>
        <v>0</v>
      </c>
      <c r="O262" s="107">
        <f>IF(OR($E262='Auto Responses'!$L$13,$F$24='Auto Responses'!$J$4,$F262='Auto Responses'!$J$5),'Auto Responses'!$J$5,IF($J262="",$K262,IF($J262='Auto Responses'!$J$13,5,IF($J262='Auto Responses'!$J$12,10,IF($J262='Auto Responses'!$J$11,20,0)))))</f>
        <v>5</v>
      </c>
      <c r="P262" s="107">
        <f>IF(OR($O262='Auto Responses'!$J$5,$L262='Auto Responses'!$J$5),'Auto Responses'!$J$5,$O262*$L262)</f>
        <v>5</v>
      </c>
      <c r="Q262" s="107">
        <f t="shared" si="32"/>
        <v>0</v>
      </c>
      <c r="R262" s="107">
        <f t="shared" si="37"/>
        <v>0</v>
      </c>
      <c r="S262" s="107">
        <f t="shared" si="33"/>
        <v>0</v>
      </c>
      <c r="T262" s="107">
        <f t="shared" si="34"/>
        <v>0</v>
      </c>
      <c r="U262" s="107">
        <f t="shared" si="38"/>
        <v>67</v>
      </c>
      <c r="V262" s="107">
        <f t="shared" si="35"/>
        <v>0</v>
      </c>
    </row>
    <row r="263" spans="1:22" ht="55.2" x14ac:dyDescent="0.3">
      <c r="A263" s="4" t="str">
        <f>Questions!$A263</f>
        <v>PRPO-02</v>
      </c>
      <c r="B263" s="4" t="str">
        <f t="shared" si="36"/>
        <v>PRPO</v>
      </c>
      <c r="C263" s="4" t="str">
        <f>VLOOKUP($A263,Questions!$A$3:$L$333,2,0)&amp;""</f>
        <v>Are privacy principles designed into the product lifecycle (i.e., privacy-by-design)?</v>
      </c>
      <c r="D263" s="4" t="str">
        <f>VLOOKUP($A263,Questions!$A$3:$L$333,11,0)&amp;""</f>
        <v/>
      </c>
      <c r="E263" s="4" t="str">
        <f>VLOOKUP($A263,Questions!$A$3:$L$333,12,0)&amp;""</f>
        <v>Privacy</v>
      </c>
      <c r="F263" s="4" t="str">
        <f>VLOOKUP($A263,'Privacy Analyst Evaluation'!$A$46:$K$120,3,0)&amp;""</f>
        <v>Yes</v>
      </c>
      <c r="G263" s="4" t="str">
        <f>VLOOKUP($A263,'Privacy Analyst Evaluation'!$A$46:$K$120,7,0)&amp;""</f>
        <v>Yes</v>
      </c>
      <c r="H263" s="4" t="str">
        <f>VLOOKUP($A263,'Privacy Analyst Evaluation'!$A$46:$K$120,8,0)&amp;""</f>
        <v/>
      </c>
      <c r="I263" s="4" t="str">
        <f>VLOOKUP($A263,'Privacy Analyst Evaluation'!$A$46:$K$120,9,0)&amp;""</f>
        <v>Minor Importance</v>
      </c>
      <c r="J263" s="4" t="str">
        <f>VLOOKUP($A263,'Privacy Analyst Evaluation'!$A$46:$K$120,10,0)&amp;""</f>
        <v/>
      </c>
      <c r="K263" s="4">
        <f>IF($I263='Auto Responses'!$J$11,20,IF($I263='Auto Responses'!$J$13,5,10))</f>
        <v>5</v>
      </c>
      <c r="L263" s="107">
        <f>IF($E263='Auto Responses'!$L$13, 'Auto Responses'!$J$5,IF(AND($D263='Auto Responses'!$J$27,$H263=""),'Auto Responses'!$J$5,IF(AND($D263='Auto Responses'!$J$27,$H263='Auto Responses'!$J$7),1,IF(AND($D263='Auto Responses'!$J$27,$H263='Auto Responses'!$J$8),0,IF(OR(AND($F263=$G263,$H263=""),$H263='Auto Responses'!$J$7),1,0)))))</f>
        <v>1</v>
      </c>
      <c r="M263" s="4" t="str">
        <f>VLOOKUP($A263,'Privacy Analyst Evaluation'!$A$46:$K$120,11,0)&amp;""</f>
        <v>FALSE</v>
      </c>
      <c r="N263" s="4">
        <f>IF($J263='Auto Responses'!$J$11,1,IF(AND($J263="",$I263='Auto Responses'!$J$11),1,0))</f>
        <v>0</v>
      </c>
      <c r="O263" s="107">
        <f>IF(OR($E263='Auto Responses'!$L$13,$F$24='Auto Responses'!$J$4,$F263='Auto Responses'!$J$5),'Auto Responses'!$J$5,IF($J263="",$K263,IF($J263='Auto Responses'!$J$13,5,IF($J263='Auto Responses'!$J$12,10,IF($J263='Auto Responses'!$J$11,20,0)))))</f>
        <v>5</v>
      </c>
      <c r="P263" s="107">
        <f>IF(OR($O263='Auto Responses'!$J$5,$L263='Auto Responses'!$J$5),'Auto Responses'!$J$5,$O263*$L263)</f>
        <v>5</v>
      </c>
      <c r="Q263" s="107">
        <f t="shared" si="32"/>
        <v>0</v>
      </c>
      <c r="R263" s="107">
        <f t="shared" si="37"/>
        <v>0</v>
      </c>
      <c r="S263" s="107">
        <f t="shared" si="33"/>
        <v>0</v>
      </c>
      <c r="T263" s="107">
        <f t="shared" si="34"/>
        <v>0</v>
      </c>
      <c r="U263" s="107">
        <f t="shared" si="38"/>
        <v>67</v>
      </c>
      <c r="V263" s="107">
        <f t="shared" si="35"/>
        <v>0</v>
      </c>
    </row>
    <row r="264" spans="1:22" ht="55.2" x14ac:dyDescent="0.3">
      <c r="A264" s="4" t="str">
        <f>Questions!$A264</f>
        <v>PRPO-03</v>
      </c>
      <c r="B264" s="4" t="str">
        <f t="shared" si="36"/>
        <v>PRPO</v>
      </c>
      <c r="C264" s="4" t="str">
        <f>VLOOKUP($A264,Questions!$A$3:$L$333,2,0)&amp;""</f>
        <v>Will you comply with applicable breach notification laws?</v>
      </c>
      <c r="D264" s="4" t="str">
        <f>VLOOKUP($A264,Questions!$A$3:$L$333,11,0)&amp;""</f>
        <v/>
      </c>
      <c r="E264" s="4" t="str">
        <f>VLOOKUP($A264,Questions!$A$3:$L$333,12,0)&amp;""</f>
        <v>Privacy</v>
      </c>
      <c r="F264" s="4" t="str">
        <f>VLOOKUP($A264,'Privacy Analyst Evaluation'!$A$46:$K$120,3,0)&amp;""</f>
        <v>Yes</v>
      </c>
      <c r="G264" s="4" t="str">
        <f>VLOOKUP($A264,'Privacy Analyst Evaluation'!$A$46:$K$120,7,0)&amp;""</f>
        <v>Yes</v>
      </c>
      <c r="H264" s="4" t="str">
        <f>VLOOKUP($A264,'Privacy Analyst Evaluation'!$A$46:$K$120,8,0)&amp;""</f>
        <v/>
      </c>
      <c r="I264" s="4" t="str">
        <f>VLOOKUP($A264,'Privacy Analyst Evaluation'!$A$46:$K$120,9,0)&amp;""</f>
        <v>Standard Importance</v>
      </c>
      <c r="J264" s="4" t="str">
        <f>VLOOKUP($A264,'Privacy Analyst Evaluation'!$A$46:$K$120,10,0)&amp;""</f>
        <v/>
      </c>
      <c r="K264" s="4">
        <f>IF($I264='Auto Responses'!$J$11,20,IF($I264='Auto Responses'!$J$13,5,10))</f>
        <v>10</v>
      </c>
      <c r="L264" s="107">
        <f>IF($E264='Auto Responses'!$L$13, 'Auto Responses'!$J$5,IF(AND($D264='Auto Responses'!$J$27,$H264=""),'Auto Responses'!$J$5,IF(AND($D264='Auto Responses'!$J$27,$H264='Auto Responses'!$J$7),1,IF(AND($D264='Auto Responses'!$J$27,$H264='Auto Responses'!$J$8),0,IF(OR(AND($F264=$G264,$H264=""),$H264='Auto Responses'!$J$7),1,0)))))</f>
        <v>1</v>
      </c>
      <c r="M264" s="4" t="str">
        <f>VLOOKUP($A264,'Privacy Analyst Evaluation'!$A$46:$K$120,11,0)&amp;""</f>
        <v>FALSE</v>
      </c>
      <c r="N264" s="4">
        <f>IF($J264='Auto Responses'!$J$11,1,IF(AND($J264="",$I264='Auto Responses'!$J$11),1,0))</f>
        <v>0</v>
      </c>
      <c r="O264" s="107">
        <f>IF(OR($E264='Auto Responses'!$L$13,$F$24='Auto Responses'!$J$4,$F264='Auto Responses'!$J$5),'Auto Responses'!$J$5,IF($J264="",$K264,IF($J264='Auto Responses'!$J$13,5,IF($J264='Auto Responses'!$J$12,10,IF($J264='Auto Responses'!$J$11,20,0)))))</f>
        <v>10</v>
      </c>
      <c r="P264" s="107">
        <f>IF(OR($O264='Auto Responses'!$J$5,$L264='Auto Responses'!$J$5),'Auto Responses'!$J$5,$O264*$L264)</f>
        <v>10</v>
      </c>
      <c r="Q264" s="107">
        <f t="shared" si="32"/>
        <v>0</v>
      </c>
      <c r="R264" s="107">
        <f t="shared" si="37"/>
        <v>0</v>
      </c>
      <c r="S264" s="107">
        <f t="shared" si="33"/>
        <v>0</v>
      </c>
      <c r="T264" s="107">
        <f t="shared" si="34"/>
        <v>0</v>
      </c>
      <c r="U264" s="107">
        <f t="shared" si="38"/>
        <v>67</v>
      </c>
      <c r="V264" s="107">
        <f t="shared" si="35"/>
        <v>0</v>
      </c>
    </row>
    <row r="265" spans="1:22" ht="55.2" x14ac:dyDescent="0.3">
      <c r="A265" s="4" t="str">
        <f>Questions!$A265</f>
        <v>PRPO-04</v>
      </c>
      <c r="B265" s="4" t="str">
        <f t="shared" si="36"/>
        <v>PRPO</v>
      </c>
      <c r="C265" s="4" t="str">
        <f>VLOOKUP($A265,Questions!$A$3:$L$333,2,0)&amp;""</f>
        <v>Will you comply with the institution's policies regarding user privacy and data protection?</v>
      </c>
      <c r="D265" s="4" t="str">
        <f>VLOOKUP($A265,Questions!$A$3:$L$333,11,0)&amp;""</f>
        <v/>
      </c>
      <c r="E265" s="4" t="str">
        <f>VLOOKUP($A265,Questions!$A$3:$L$333,12,0)&amp;""</f>
        <v>Privacy</v>
      </c>
      <c r="F265" s="4" t="str">
        <f>VLOOKUP($A265,'Privacy Analyst Evaluation'!$A$46:$K$120,3,0)&amp;""</f>
        <v>Yes</v>
      </c>
      <c r="G265" s="4" t="str">
        <f>VLOOKUP($A265,'Privacy Analyst Evaluation'!$A$46:$K$120,7,0)&amp;""</f>
        <v>Yes</v>
      </c>
      <c r="H265" s="4" t="str">
        <f>VLOOKUP($A265,'Privacy Analyst Evaluation'!$A$46:$K$120,8,0)&amp;""</f>
        <v/>
      </c>
      <c r="I265" s="4" t="str">
        <f>VLOOKUP($A265,'Privacy Analyst Evaluation'!$A$46:$K$120,9,0)&amp;""</f>
        <v>Minor Importance</v>
      </c>
      <c r="J265" s="4" t="str">
        <f>VLOOKUP($A265,'Privacy Analyst Evaluation'!$A$46:$K$120,10,0)&amp;""</f>
        <v/>
      </c>
      <c r="K265" s="4">
        <f>IF($I265='Auto Responses'!$J$11,20,IF($I265='Auto Responses'!$J$13,5,10))</f>
        <v>5</v>
      </c>
      <c r="L265" s="107">
        <f>IF($E265='Auto Responses'!$L$13, 'Auto Responses'!$J$5,IF(AND($D265='Auto Responses'!$J$27,$H265=""),'Auto Responses'!$J$5,IF(AND($D265='Auto Responses'!$J$27,$H265='Auto Responses'!$J$7),1,IF(AND($D265='Auto Responses'!$J$27,$H265='Auto Responses'!$J$8),0,IF(OR(AND($F265=$G265,$H265=""),$H265='Auto Responses'!$J$7),1,0)))))</f>
        <v>1</v>
      </c>
      <c r="M265" s="4" t="str">
        <f>VLOOKUP($A265,'Privacy Analyst Evaluation'!$A$46:$K$120,11,0)&amp;""</f>
        <v>FALSE</v>
      </c>
      <c r="N265" s="4">
        <f>IF($J265='Auto Responses'!$J$11,1,IF(AND($J265="",$I265='Auto Responses'!$J$11),1,0))</f>
        <v>0</v>
      </c>
      <c r="O265" s="107">
        <f>IF(OR($E265='Auto Responses'!$L$13,$F$24='Auto Responses'!$J$4,$F265='Auto Responses'!$J$5),'Auto Responses'!$J$5,IF($J265="",$K265,IF($J265='Auto Responses'!$J$13,5,IF($J265='Auto Responses'!$J$12,10,IF($J265='Auto Responses'!$J$11,20,0)))))</f>
        <v>5</v>
      </c>
      <c r="P265" s="107">
        <f>IF(OR($O265='Auto Responses'!$J$5,$L265='Auto Responses'!$J$5),'Auto Responses'!$J$5,$O265*$L265)</f>
        <v>5</v>
      </c>
      <c r="Q265" s="107">
        <f t="shared" si="32"/>
        <v>0</v>
      </c>
      <c r="R265" s="107">
        <f t="shared" si="37"/>
        <v>0</v>
      </c>
      <c r="S265" s="107">
        <f t="shared" si="33"/>
        <v>0</v>
      </c>
      <c r="T265" s="107">
        <f t="shared" si="34"/>
        <v>0</v>
      </c>
      <c r="U265" s="107">
        <f t="shared" si="38"/>
        <v>67</v>
      </c>
      <c r="V265" s="107">
        <f t="shared" si="35"/>
        <v>0</v>
      </c>
    </row>
    <row r="266" spans="1:22" ht="55.2" x14ac:dyDescent="0.3">
      <c r="A266" s="4" t="str">
        <f>Questions!$A266</f>
        <v>PRPO-05</v>
      </c>
      <c r="B266" s="4" t="str">
        <f t="shared" si="36"/>
        <v>PRPO</v>
      </c>
      <c r="C266" s="4" t="str">
        <f>VLOOKUP($A266,Questions!$A$3:$L$333,2,0)&amp;""</f>
        <v>Is your company subject to the laws and regulations of the institution's geographic region?</v>
      </c>
      <c r="D266" s="4" t="str">
        <f>VLOOKUP($A266,Questions!$A$3:$L$333,11,0)&amp;""</f>
        <v/>
      </c>
      <c r="E266" s="4" t="str">
        <f>VLOOKUP($A266,Questions!$A$3:$L$333,12,0)&amp;""</f>
        <v>Privacy</v>
      </c>
      <c r="F266" s="4" t="str">
        <f>VLOOKUP($A266,'Privacy Analyst Evaluation'!$A$46:$K$120,3,0)&amp;""</f>
        <v>Yes</v>
      </c>
      <c r="G266" s="4" t="str">
        <f>VLOOKUP($A266,'Privacy Analyst Evaluation'!$A$46:$K$120,7,0)&amp;""</f>
        <v>Yes</v>
      </c>
      <c r="H266" s="4" t="str">
        <f>VLOOKUP($A266,'Privacy Analyst Evaluation'!$A$46:$K$120,8,0)&amp;""</f>
        <v/>
      </c>
      <c r="I266" s="4" t="str">
        <f>VLOOKUP($A266,'Privacy Analyst Evaluation'!$A$46:$K$120,9,0)&amp;""</f>
        <v>Minor Importance</v>
      </c>
      <c r="J266" s="4" t="str">
        <f>VLOOKUP($A266,'Privacy Analyst Evaluation'!$A$46:$K$120,10,0)&amp;""</f>
        <v/>
      </c>
      <c r="K266" s="4">
        <f>IF($I266='Auto Responses'!$J$11,20,IF($I266='Auto Responses'!$J$13,5,10))</f>
        <v>5</v>
      </c>
      <c r="L266" s="107">
        <f>IF($E266='Auto Responses'!$L$13, 'Auto Responses'!$J$5,IF(AND($D266='Auto Responses'!$J$27,$H266=""),'Auto Responses'!$J$5,IF(AND($D266='Auto Responses'!$J$27,$H266='Auto Responses'!$J$7),1,IF(AND($D266='Auto Responses'!$J$27,$H266='Auto Responses'!$J$8),0,IF(OR(AND($F266=$G266,$H266=""),$H266='Auto Responses'!$J$7),1,0)))))</f>
        <v>1</v>
      </c>
      <c r="M266" s="4" t="str">
        <f>VLOOKUP($A266,'Privacy Analyst Evaluation'!$A$46:$K$120,11,0)&amp;""</f>
        <v>FALSE</v>
      </c>
      <c r="N266" s="4">
        <f>IF($J266='Auto Responses'!$J$11,1,IF(AND($J266="",$I266='Auto Responses'!$J$11),1,0))</f>
        <v>0</v>
      </c>
      <c r="O266" s="107">
        <f>IF(OR($E266='Auto Responses'!$L$13,$F$24='Auto Responses'!$J$4,$F266='Auto Responses'!$J$5),'Auto Responses'!$J$5,IF($J266="",$K266,IF($J266='Auto Responses'!$J$13,5,IF($J266='Auto Responses'!$J$12,10,IF($J266='Auto Responses'!$J$11,20,0)))))</f>
        <v>5</v>
      </c>
      <c r="P266" s="107">
        <f>IF(OR($O266='Auto Responses'!$J$5,$L266='Auto Responses'!$J$5),'Auto Responses'!$J$5,$O266*$L266)</f>
        <v>5</v>
      </c>
      <c r="Q266" s="107">
        <f t="shared" si="32"/>
        <v>0</v>
      </c>
      <c r="R266" s="107">
        <f t="shared" si="37"/>
        <v>0</v>
      </c>
      <c r="S266" s="107">
        <f t="shared" si="33"/>
        <v>0</v>
      </c>
      <c r="T266" s="107">
        <f t="shared" si="34"/>
        <v>0</v>
      </c>
      <c r="U266" s="107">
        <f t="shared" si="38"/>
        <v>67</v>
      </c>
      <c r="V266" s="107">
        <f t="shared" si="35"/>
        <v>0</v>
      </c>
    </row>
    <row r="267" spans="1:22" ht="55.2" x14ac:dyDescent="0.3">
      <c r="A267" s="4" t="str">
        <f>Questions!$A267</f>
        <v>PRPO-06</v>
      </c>
      <c r="B267" s="4" t="str">
        <f t="shared" si="36"/>
        <v>PRPO</v>
      </c>
      <c r="C267" s="4" t="str">
        <f>VLOOKUP($A267,Questions!$A$3:$L$333,2,0)&amp;""</f>
        <v>Do you have a privacy awareness/training program?*</v>
      </c>
      <c r="D267" s="4" t="str">
        <f>VLOOKUP($A267,Questions!$A$3:$L$333,11,0)&amp;""</f>
        <v/>
      </c>
      <c r="E267" s="4" t="str">
        <f>VLOOKUP($A267,Questions!$A$3:$L$333,12,0)&amp;""</f>
        <v>Privacy</v>
      </c>
      <c r="F267" s="4" t="str">
        <f>VLOOKUP($A267,'Privacy Analyst Evaluation'!$A$46:$K$120,3,0)&amp;""</f>
        <v>Yes</v>
      </c>
      <c r="G267" s="4" t="str">
        <f>VLOOKUP($A267,'Privacy Analyst Evaluation'!$A$46:$K$120,7,0)&amp;""</f>
        <v>Yes</v>
      </c>
      <c r="H267" s="4" t="str">
        <f>VLOOKUP($A267,'Privacy Analyst Evaluation'!$A$46:$K$120,8,0)&amp;""</f>
        <v/>
      </c>
      <c r="I267" s="4" t="str">
        <f>VLOOKUP($A267,'Privacy Analyst Evaluation'!$A$46:$K$120,9,0)&amp;""</f>
        <v>Critical Importance</v>
      </c>
      <c r="J267" s="4" t="str">
        <f>VLOOKUP($A267,'Privacy Analyst Evaluation'!$A$46:$K$120,10,0)&amp;""</f>
        <v/>
      </c>
      <c r="K267" s="4">
        <f>IF($I267='Auto Responses'!$J$11,20,IF($I267='Auto Responses'!$J$13,5,10))</f>
        <v>20</v>
      </c>
      <c r="L267" s="107">
        <f>IF($E267='Auto Responses'!$L$13, 'Auto Responses'!$J$5,IF(AND($D267='Auto Responses'!$J$27,$H267=""),'Auto Responses'!$J$5,IF(AND($D267='Auto Responses'!$J$27,$H267='Auto Responses'!$J$7),1,IF(AND($D267='Auto Responses'!$J$27,$H267='Auto Responses'!$J$8),0,IF(OR(AND($F267=$G267,$H267=""),$H267='Auto Responses'!$J$7),1,0)))))</f>
        <v>1</v>
      </c>
      <c r="M267" s="4" t="str">
        <f>VLOOKUP($A267,'Privacy Analyst Evaluation'!$A$46:$K$120,11,0)&amp;""</f>
        <v>FALSE</v>
      </c>
      <c r="N267" s="4">
        <f>IF($J267='Auto Responses'!$J$11,1,IF(AND($J267="",$I267='Auto Responses'!$J$11),1,0))</f>
        <v>1</v>
      </c>
      <c r="O267" s="107">
        <f>IF(OR($E267='Auto Responses'!$L$13,$F$24='Auto Responses'!$J$4,$F267='Auto Responses'!$J$5),'Auto Responses'!$J$5,IF($J267="",$K267,IF($J267='Auto Responses'!$J$13,5,IF($J267='Auto Responses'!$J$12,10,IF($J267='Auto Responses'!$J$11,20,0)))))</f>
        <v>20</v>
      </c>
      <c r="P267" s="107">
        <f>IF(OR($O267='Auto Responses'!$J$5,$L267='Auto Responses'!$J$5),'Auto Responses'!$J$5,$O267*$L267)</f>
        <v>20</v>
      </c>
      <c r="Q267" s="107">
        <f t="shared" si="32"/>
        <v>0</v>
      </c>
      <c r="R267" s="107">
        <f t="shared" si="37"/>
        <v>0</v>
      </c>
      <c r="S267" s="107">
        <f t="shared" si="33"/>
        <v>0</v>
      </c>
      <c r="T267" s="107">
        <f t="shared" si="34"/>
        <v>1</v>
      </c>
      <c r="U267" s="107">
        <f t="shared" si="38"/>
        <v>68</v>
      </c>
      <c r="V267" s="107">
        <f t="shared" si="35"/>
        <v>68</v>
      </c>
    </row>
    <row r="268" spans="1:22" ht="55.2" x14ac:dyDescent="0.3">
      <c r="A268" s="4" t="str">
        <f>Questions!$A268</f>
        <v>PRPO-07</v>
      </c>
      <c r="B268" s="4" t="str">
        <f t="shared" si="36"/>
        <v>PRPO</v>
      </c>
      <c r="C268" s="4" t="str">
        <f>VLOOKUP($A268,Questions!$A$3:$L$333,2,0)&amp;""</f>
        <v>Is privacy awareness training mandatory for all employees?</v>
      </c>
      <c r="D268" s="4" t="str">
        <f>VLOOKUP($A268,Questions!$A$3:$L$333,11,0)&amp;""</f>
        <v/>
      </c>
      <c r="E268" s="4" t="str">
        <f>VLOOKUP($A268,Questions!$A$3:$L$333,12,0)&amp;""</f>
        <v>Privacy</v>
      </c>
      <c r="F268" s="4" t="str">
        <f>VLOOKUP($A268,'Privacy Analyst Evaluation'!$A$46:$K$120,3,0)&amp;""</f>
        <v>Yes</v>
      </c>
      <c r="G268" s="4" t="str">
        <f>VLOOKUP($A268,'Privacy Analyst Evaluation'!$A$46:$K$120,7,0)&amp;""</f>
        <v>Yes</v>
      </c>
      <c r="H268" s="4" t="str">
        <f>VLOOKUP($A268,'Privacy Analyst Evaluation'!$A$46:$K$120,8,0)&amp;""</f>
        <v/>
      </c>
      <c r="I268" s="4" t="str">
        <f>VLOOKUP($A268,'Privacy Analyst Evaluation'!$A$46:$K$120,9,0)&amp;""</f>
        <v>Minor Importance</v>
      </c>
      <c r="J268" s="4" t="str">
        <f>VLOOKUP($A268,'Privacy Analyst Evaluation'!$A$46:$K$120,10,0)&amp;""</f>
        <v/>
      </c>
      <c r="K268" s="4">
        <f>IF($I268='Auto Responses'!$J$11,20,IF($I268='Auto Responses'!$J$13,5,10))</f>
        <v>5</v>
      </c>
      <c r="L268" s="107">
        <f>IF($E268='Auto Responses'!$L$13, 'Auto Responses'!$J$5,IF(AND($D268='Auto Responses'!$J$27,$H268=""),'Auto Responses'!$J$5,IF(AND($D268='Auto Responses'!$J$27,$H268='Auto Responses'!$J$7),1,IF(AND($D268='Auto Responses'!$J$27,$H268='Auto Responses'!$J$8),0,IF(OR(AND($F268=$G268,$H268=""),$H268='Auto Responses'!$J$7),1,0)))))</f>
        <v>1</v>
      </c>
      <c r="M268" s="4" t="str">
        <f>VLOOKUP($A268,'Privacy Analyst Evaluation'!$A$46:$K$120,11,0)&amp;""</f>
        <v>FALSE</v>
      </c>
      <c r="N268" s="4">
        <f>IF($J268='Auto Responses'!$J$11,1,IF(AND($J268="",$I268='Auto Responses'!$J$11),1,0))</f>
        <v>0</v>
      </c>
      <c r="O268" s="107">
        <f>IF(OR($E268='Auto Responses'!$L$13,$F$24='Auto Responses'!$J$4,$F268='Auto Responses'!$J$5),'Auto Responses'!$J$5,IF($J268="",$K268,IF($J268='Auto Responses'!$J$13,5,IF($J268='Auto Responses'!$J$12,10,IF($J268='Auto Responses'!$J$11,20,0)))))</f>
        <v>5</v>
      </c>
      <c r="P268" s="107">
        <f>IF(OR($O268='Auto Responses'!$J$5,$L268='Auto Responses'!$J$5),'Auto Responses'!$J$5,$O268*$L268)</f>
        <v>5</v>
      </c>
      <c r="Q268" s="107">
        <f t="shared" si="32"/>
        <v>0</v>
      </c>
      <c r="R268" s="107">
        <f t="shared" si="37"/>
        <v>0</v>
      </c>
      <c r="S268" s="107">
        <f t="shared" si="33"/>
        <v>0</v>
      </c>
      <c r="T268" s="107">
        <f t="shared" si="34"/>
        <v>0</v>
      </c>
      <c r="U268" s="107">
        <f t="shared" si="38"/>
        <v>68</v>
      </c>
      <c r="V268" s="107">
        <f t="shared" si="35"/>
        <v>0</v>
      </c>
    </row>
    <row r="269" spans="1:22" ht="55.2" x14ac:dyDescent="0.3">
      <c r="A269" s="4" t="str">
        <f>Questions!$A269</f>
        <v>PRPO-08</v>
      </c>
      <c r="B269" s="4" t="str">
        <f t="shared" si="36"/>
        <v>PRPO</v>
      </c>
      <c r="C269" s="4" t="str">
        <f>VLOOKUP($A269,Questions!$A$3:$L$333,2,0)&amp;""</f>
        <v>Is AI privacy and ethics awareness/training required for all employees who work with AI?</v>
      </c>
      <c r="D269" s="4" t="str">
        <f>VLOOKUP($A269,Questions!$A$3:$L$333,11,0)&amp;""</f>
        <v/>
      </c>
      <c r="E269" s="4" t="str">
        <f>VLOOKUP($A269,Questions!$A$3:$L$333,12,0)&amp;""</f>
        <v>Privacy</v>
      </c>
      <c r="F269" s="4" t="str">
        <f>VLOOKUP($A269,'Privacy Analyst Evaluation'!$A$46:$K$120,3,0)&amp;""</f>
        <v>Yes</v>
      </c>
      <c r="G269" s="4" t="str">
        <f>VLOOKUP($A269,'Privacy Analyst Evaluation'!$A$46:$K$120,7,0)&amp;""</f>
        <v>Yes</v>
      </c>
      <c r="H269" s="4" t="str">
        <f>VLOOKUP($A269,'Privacy Analyst Evaluation'!$A$46:$K$120,8,0)&amp;""</f>
        <v/>
      </c>
      <c r="I269" s="4" t="str">
        <f>VLOOKUP($A269,'Privacy Analyst Evaluation'!$A$46:$K$120,9,0)&amp;""</f>
        <v>Minor Importance</v>
      </c>
      <c r="J269" s="4" t="str">
        <f>VLOOKUP($A269,'Privacy Analyst Evaluation'!$A$46:$K$120,10,0)&amp;""</f>
        <v/>
      </c>
      <c r="K269" s="4">
        <f>IF($I269='Auto Responses'!$J$11,20,IF($I269='Auto Responses'!$J$13,5,10))</f>
        <v>5</v>
      </c>
      <c r="L269" s="107">
        <f>IF($E269='Auto Responses'!$L$13, 'Auto Responses'!$J$5,IF(AND($D269='Auto Responses'!$J$27,$H269=""),'Auto Responses'!$J$5,IF(AND($D269='Auto Responses'!$J$27,$H269='Auto Responses'!$J$7),1,IF(AND($D269='Auto Responses'!$J$27,$H269='Auto Responses'!$J$8),0,IF(OR(AND($F269=$G269,$H269=""),$H269='Auto Responses'!$J$7),1,0)))))</f>
        <v>1</v>
      </c>
      <c r="M269" s="4" t="str">
        <f>VLOOKUP($A269,'Privacy Analyst Evaluation'!$A$46:$K$120,11,0)&amp;""</f>
        <v>FALSE</v>
      </c>
      <c r="N269" s="4">
        <f>IF($J269='Auto Responses'!$J$11,1,IF(AND($J269="",$I269='Auto Responses'!$J$11),1,0))</f>
        <v>0</v>
      </c>
      <c r="O269" s="107">
        <f>IF(OR($E269='Auto Responses'!$L$13,$F$24='Auto Responses'!$J$4,$F269='Auto Responses'!$J$5),'Auto Responses'!$J$5,IF($J269="",$K269,IF($J269='Auto Responses'!$J$13,5,IF($J269='Auto Responses'!$J$12,10,IF($J269='Auto Responses'!$J$11,20,0)))))</f>
        <v>5</v>
      </c>
      <c r="P269" s="107">
        <f>IF(OR($O269='Auto Responses'!$J$5,$L269='Auto Responses'!$J$5),'Auto Responses'!$J$5,$O269*$L269)</f>
        <v>5</v>
      </c>
      <c r="Q269" s="107">
        <f t="shared" si="32"/>
        <v>0</v>
      </c>
      <c r="R269" s="107">
        <f t="shared" si="37"/>
        <v>0</v>
      </c>
      <c r="S269" s="107">
        <f t="shared" si="33"/>
        <v>0</v>
      </c>
      <c r="T269" s="107">
        <f t="shared" si="34"/>
        <v>0</v>
      </c>
      <c r="U269" s="107">
        <f t="shared" si="38"/>
        <v>68</v>
      </c>
      <c r="V269" s="107">
        <f t="shared" si="35"/>
        <v>0</v>
      </c>
    </row>
    <row r="270" spans="1:22" ht="55.2" x14ac:dyDescent="0.3">
      <c r="A270" s="4" t="str">
        <f>Questions!$A270</f>
        <v>PRPO-09</v>
      </c>
      <c r="B270" s="4" t="str">
        <f t="shared" si="36"/>
        <v>PRPO</v>
      </c>
      <c r="C270" s="4" t="str">
        <f>VLOOKUP($A270,Questions!$A$3:$L$333,2,0)&amp;""</f>
        <v>Do you have any decision-making processes that are completely automated (i.e., there is no human involvement)?</v>
      </c>
      <c r="D270" s="4" t="str">
        <f>VLOOKUP($A270,Questions!$A$3:$L$333,11,0)&amp;""</f>
        <v/>
      </c>
      <c r="E270" s="4" t="str">
        <f>VLOOKUP($A270,Questions!$A$3:$L$333,12,0)&amp;""</f>
        <v>Privacy</v>
      </c>
      <c r="F270" s="4" t="str">
        <f>VLOOKUP($A270,'Privacy Analyst Evaluation'!$A$46:$K$120,3,0)&amp;""</f>
        <v>No</v>
      </c>
      <c r="G270" s="4" t="str">
        <f>VLOOKUP($A270,'Privacy Analyst Evaluation'!$A$46:$K$120,7,0)&amp;""</f>
        <v>No</v>
      </c>
      <c r="H270" s="4" t="str">
        <f>VLOOKUP($A270,'Privacy Analyst Evaluation'!$A$46:$K$120,8,0)&amp;""</f>
        <v/>
      </c>
      <c r="I270" s="4" t="str">
        <f>VLOOKUP($A270,'Privacy Analyst Evaluation'!$A$46:$K$120,9,0)&amp;""</f>
        <v>Minor Importance</v>
      </c>
      <c r="J270" s="4" t="str">
        <f>VLOOKUP($A270,'Privacy Analyst Evaluation'!$A$46:$K$120,10,0)&amp;""</f>
        <v/>
      </c>
      <c r="K270" s="4">
        <f>IF($I270='Auto Responses'!$J$11,20,IF($I270='Auto Responses'!$J$13,5,10))</f>
        <v>5</v>
      </c>
      <c r="L270" s="107">
        <f>IF($E270='Auto Responses'!$L$13, 'Auto Responses'!$J$5,IF(AND($D270='Auto Responses'!$J$27,$H270=""),'Auto Responses'!$J$5,IF(AND($D270='Auto Responses'!$J$27,$H270='Auto Responses'!$J$7),1,IF(AND($D270='Auto Responses'!$J$27,$H270='Auto Responses'!$J$8),0,IF(OR(AND($F270=$G270,$H270=""),$H270='Auto Responses'!$J$7),1,0)))))</f>
        <v>1</v>
      </c>
      <c r="M270" s="4" t="str">
        <f>VLOOKUP($A270,'Privacy Analyst Evaluation'!$A$46:$K$120,11,0)&amp;""</f>
        <v>FALSE</v>
      </c>
      <c r="N270" s="4">
        <f>IF($J270='Auto Responses'!$J$11,1,IF(AND($J270="",$I270='Auto Responses'!$J$11),1,0))</f>
        <v>0</v>
      </c>
      <c r="O270" s="107">
        <f>IF(OR($E270='Auto Responses'!$L$13,$F$24='Auto Responses'!$J$4,$F270='Auto Responses'!$J$5),'Auto Responses'!$J$5,IF($J270="",$K270,IF($J270='Auto Responses'!$J$13,5,IF($J270='Auto Responses'!$J$12,10,IF($J270='Auto Responses'!$J$11,20,0)))))</f>
        <v>5</v>
      </c>
      <c r="P270" s="107">
        <f>IF(OR($O270='Auto Responses'!$J$5,$L270='Auto Responses'!$J$5),'Auto Responses'!$J$5,$O270*$L270)</f>
        <v>5</v>
      </c>
      <c r="Q270" s="107">
        <f t="shared" si="32"/>
        <v>0</v>
      </c>
      <c r="R270" s="107">
        <f t="shared" si="37"/>
        <v>0</v>
      </c>
      <c r="S270" s="107">
        <f t="shared" si="33"/>
        <v>0</v>
      </c>
      <c r="T270" s="107">
        <f t="shared" si="34"/>
        <v>0</v>
      </c>
      <c r="U270" s="107">
        <f t="shared" si="38"/>
        <v>68</v>
      </c>
      <c r="V270" s="107">
        <f t="shared" si="35"/>
        <v>0</v>
      </c>
    </row>
    <row r="271" spans="1:22" ht="55.2" x14ac:dyDescent="0.3">
      <c r="A271" s="4" t="str">
        <f>Questions!$A271</f>
        <v>PRPO-10</v>
      </c>
      <c r="B271" s="4" t="str">
        <f t="shared" si="36"/>
        <v>PRPO</v>
      </c>
      <c r="C271" s="4" t="str">
        <f>VLOOKUP($A271,Questions!$A$3:$L$333,2,0)&amp;""</f>
        <v>Do you have a documented process for managing automated processing, including validations, monitoring, and data subject requests?</v>
      </c>
      <c r="D271" s="4" t="str">
        <f>VLOOKUP($A271,Questions!$A$3:$L$333,11,0)&amp;""</f>
        <v/>
      </c>
      <c r="E271" s="4" t="str">
        <f>VLOOKUP($A271,Questions!$A$3:$L$333,12,0)&amp;""</f>
        <v>Privacy</v>
      </c>
      <c r="F271" s="4" t="str">
        <f>VLOOKUP($A271,'Privacy Analyst Evaluation'!$A$46:$K$120,3,0)&amp;""</f>
        <v>Yes</v>
      </c>
      <c r="G271" s="4" t="str">
        <f>VLOOKUP($A271,'Privacy Analyst Evaluation'!$A$46:$K$120,7,0)&amp;""</f>
        <v>Yes</v>
      </c>
      <c r="H271" s="4" t="str">
        <f>VLOOKUP($A271,'Privacy Analyst Evaluation'!$A$46:$K$120,8,0)&amp;""</f>
        <v/>
      </c>
      <c r="I271" s="4" t="str">
        <f>VLOOKUP($A271,'Privacy Analyst Evaluation'!$A$46:$K$120,9,0)&amp;""</f>
        <v>Minor Importance</v>
      </c>
      <c r="J271" s="4" t="str">
        <f>VLOOKUP($A271,'Privacy Analyst Evaluation'!$A$46:$K$120,10,0)&amp;""</f>
        <v/>
      </c>
      <c r="K271" s="4">
        <f>IF($I271='Auto Responses'!$J$11,20,IF($I271='Auto Responses'!$J$13,5,10))</f>
        <v>5</v>
      </c>
      <c r="L271" s="107">
        <f>IF($E271='Auto Responses'!$L$13, 'Auto Responses'!$J$5,IF(AND($D271='Auto Responses'!$J$27,$H271=""),'Auto Responses'!$J$5,IF(AND($D271='Auto Responses'!$J$27,$H271='Auto Responses'!$J$7),1,IF(AND($D271='Auto Responses'!$J$27,$H271='Auto Responses'!$J$8),0,IF(OR(AND($F271=$G271,$H271=""),$H271='Auto Responses'!$J$7),1,0)))))</f>
        <v>1</v>
      </c>
      <c r="M271" s="4" t="str">
        <f>VLOOKUP($A271,'Privacy Analyst Evaluation'!$A$46:$K$120,11,0)&amp;""</f>
        <v>FALSE</v>
      </c>
      <c r="N271" s="4">
        <f>IF($J271='Auto Responses'!$J$11,1,IF(AND($J271="",$I271='Auto Responses'!$J$11),1,0))</f>
        <v>0</v>
      </c>
      <c r="O271" s="107">
        <f>IF(OR($E271='Auto Responses'!$L$13,$F$24='Auto Responses'!$J$4,$F271='Auto Responses'!$J$5),'Auto Responses'!$J$5,IF($J271="",$K271,IF($J271='Auto Responses'!$J$13,5,IF($J271='Auto Responses'!$J$12,10,IF($J271='Auto Responses'!$J$11,20,0)))))</f>
        <v>5</v>
      </c>
      <c r="P271" s="107">
        <f>IF(OR($O271='Auto Responses'!$J$5,$L271='Auto Responses'!$J$5),'Auto Responses'!$J$5,$O271*$L271)</f>
        <v>5</v>
      </c>
      <c r="Q271" s="107">
        <f t="shared" si="32"/>
        <v>0</v>
      </c>
      <c r="R271" s="107">
        <f t="shared" si="37"/>
        <v>0</v>
      </c>
      <c r="S271" s="107">
        <f t="shared" si="33"/>
        <v>0</v>
      </c>
      <c r="T271" s="107">
        <f t="shared" si="34"/>
        <v>0</v>
      </c>
      <c r="U271" s="107">
        <f t="shared" si="38"/>
        <v>68</v>
      </c>
      <c r="V271" s="107">
        <f t="shared" si="35"/>
        <v>0</v>
      </c>
    </row>
    <row r="272" spans="1:22" ht="55.2" x14ac:dyDescent="0.3">
      <c r="A272" s="4" t="str">
        <f>Questions!$A272</f>
        <v>PRPO-11</v>
      </c>
      <c r="B272" s="4" t="str">
        <f t="shared" si="36"/>
        <v>PRPO</v>
      </c>
      <c r="C272" s="4" t="str">
        <f>VLOOKUP($A272,Questions!$A$3:$L$333,2,0)&amp;""</f>
        <v>Do you have a documented policy for sharing information with law enforcement?</v>
      </c>
      <c r="D272" s="4" t="str">
        <f>VLOOKUP($A272,Questions!$A$3:$L$333,11,0)&amp;""</f>
        <v/>
      </c>
      <c r="E272" s="4" t="str">
        <f>VLOOKUP($A272,Questions!$A$3:$L$333,12,0)&amp;""</f>
        <v>Privacy</v>
      </c>
      <c r="F272" s="4" t="str">
        <f>VLOOKUP($A272,'Privacy Analyst Evaluation'!$A$46:$K$120,3,0)&amp;""</f>
        <v>No</v>
      </c>
      <c r="G272" s="4" t="str">
        <f>VLOOKUP($A272,'Privacy Analyst Evaluation'!$A$46:$K$120,7,0)&amp;""</f>
        <v>Yes</v>
      </c>
      <c r="H272" s="4" t="str">
        <f>VLOOKUP($A272,'Privacy Analyst Evaluation'!$A$46:$K$120,8,0)&amp;""</f>
        <v/>
      </c>
      <c r="I272" s="4" t="str">
        <f>VLOOKUP($A272,'Privacy Analyst Evaluation'!$A$46:$K$120,9,0)&amp;""</f>
        <v>Minor Importance</v>
      </c>
      <c r="J272" s="4" t="str">
        <f>VLOOKUP($A272,'Privacy Analyst Evaluation'!$A$46:$K$120,10,0)&amp;""</f>
        <v/>
      </c>
      <c r="K272" s="4">
        <f>IF($I272='Auto Responses'!$J$11,20,IF($I272='Auto Responses'!$J$13,5,10))</f>
        <v>5</v>
      </c>
      <c r="L272" s="107">
        <f>IF($E272='Auto Responses'!$L$13, 'Auto Responses'!$J$5,IF(AND($D272='Auto Responses'!$J$27,$H272=""),'Auto Responses'!$J$5,IF(AND($D272='Auto Responses'!$J$27,$H272='Auto Responses'!$J$7),1,IF(AND($D272='Auto Responses'!$J$27,$H272='Auto Responses'!$J$8),0,IF(OR(AND($F272=$G272,$H272=""),$H272='Auto Responses'!$J$7),1,0)))))</f>
        <v>0</v>
      </c>
      <c r="M272" s="4" t="str">
        <f>VLOOKUP($A272,'Privacy Analyst Evaluation'!$A$46:$K$120,11,0)&amp;""</f>
        <v>FALSE</v>
      </c>
      <c r="N272" s="4">
        <f>IF($J272='Auto Responses'!$J$11,1,IF(AND($J272="",$I272='Auto Responses'!$J$11),1,0))</f>
        <v>0</v>
      </c>
      <c r="O272" s="107">
        <f>IF(OR($E272='Auto Responses'!$L$13,$F$24='Auto Responses'!$J$4,$F272='Auto Responses'!$J$5),'Auto Responses'!$J$5,IF($J272="",$K272,IF($J272='Auto Responses'!$J$13,5,IF($J272='Auto Responses'!$J$12,10,IF($J272='Auto Responses'!$J$11,20,0)))))</f>
        <v>5</v>
      </c>
      <c r="P272" s="107">
        <f>IF(OR($O272='Auto Responses'!$J$5,$L272='Auto Responses'!$J$5),'Auto Responses'!$J$5,$O272*$L272)</f>
        <v>0</v>
      </c>
      <c r="Q272" s="107">
        <f t="shared" si="32"/>
        <v>0</v>
      </c>
      <c r="R272" s="107">
        <f t="shared" si="37"/>
        <v>0</v>
      </c>
      <c r="S272" s="107">
        <f t="shared" si="33"/>
        <v>0</v>
      </c>
      <c r="T272" s="107">
        <f t="shared" si="34"/>
        <v>0</v>
      </c>
      <c r="U272" s="107">
        <f t="shared" si="38"/>
        <v>68</v>
      </c>
      <c r="V272" s="107">
        <f t="shared" si="35"/>
        <v>0</v>
      </c>
    </row>
    <row r="273" spans="1:22" ht="55.2" x14ac:dyDescent="0.3">
      <c r="A273" s="4" t="str">
        <f>Questions!$A273</f>
        <v>PRPO-12</v>
      </c>
      <c r="B273" s="4" t="str">
        <f t="shared" si="36"/>
        <v>PRPO</v>
      </c>
      <c r="C273" s="4" t="str">
        <f>VLOOKUP($A273,Questions!$A$3:$L$333,2,0)&amp;""</f>
        <v>Do you share any institutional data with law enforcement without a valid warrant or subpoena?*</v>
      </c>
      <c r="D273" s="4" t="str">
        <f>VLOOKUP($A273,Questions!$A$3:$L$333,11,0)&amp;""</f>
        <v/>
      </c>
      <c r="E273" s="4" t="str">
        <f>VLOOKUP($A273,Questions!$A$3:$L$333,12,0)&amp;""</f>
        <v>Privacy</v>
      </c>
      <c r="F273" s="4" t="str">
        <f>VLOOKUP($A273,'Privacy Analyst Evaluation'!$A$46:$K$120,3,0)&amp;""</f>
        <v>No</v>
      </c>
      <c r="G273" s="4" t="str">
        <f>VLOOKUP($A273,'Privacy Analyst Evaluation'!$A$46:$K$120,7,0)&amp;""</f>
        <v>No</v>
      </c>
      <c r="H273" s="4" t="str">
        <f>VLOOKUP($A273,'Privacy Analyst Evaluation'!$A$46:$K$120,8,0)&amp;""</f>
        <v/>
      </c>
      <c r="I273" s="4" t="str">
        <f>VLOOKUP($A273,'Privacy Analyst Evaluation'!$A$46:$K$120,9,0)&amp;""</f>
        <v>Critical Importance</v>
      </c>
      <c r="J273" s="4" t="str">
        <f>VLOOKUP($A273,'Privacy Analyst Evaluation'!$A$46:$K$120,10,0)&amp;""</f>
        <v/>
      </c>
      <c r="K273" s="4">
        <f>IF($I273='Auto Responses'!$J$11,20,IF($I273='Auto Responses'!$J$13,5,10))</f>
        <v>20</v>
      </c>
      <c r="L273" s="107">
        <f>IF($E273='Auto Responses'!$L$13, 'Auto Responses'!$J$5,IF(AND($D273='Auto Responses'!$J$27,$H273=""),'Auto Responses'!$J$5,IF(AND($D273='Auto Responses'!$J$27,$H273='Auto Responses'!$J$7),1,IF(AND($D273='Auto Responses'!$J$27,$H273='Auto Responses'!$J$8),0,IF(OR(AND($F273=$G273,$H273=""),$H273='Auto Responses'!$J$7),1,0)))))</f>
        <v>1</v>
      </c>
      <c r="M273" s="4" t="str">
        <f>VLOOKUP($A273,'Privacy Analyst Evaluation'!$A$46:$K$120,11,0)&amp;""</f>
        <v>FALSE</v>
      </c>
      <c r="N273" s="4">
        <f>IF($J273='Auto Responses'!$J$11,1,IF(AND($J273="",$I273='Auto Responses'!$J$11),1,0))</f>
        <v>1</v>
      </c>
      <c r="O273" s="107">
        <f>IF(OR($E273='Auto Responses'!$L$13,$F$24='Auto Responses'!$J$4,$F273='Auto Responses'!$J$5),'Auto Responses'!$J$5,IF($J273="",$K273,IF($J273='Auto Responses'!$J$13,5,IF($J273='Auto Responses'!$J$12,10,IF($J273='Auto Responses'!$J$11,20,0)))))</f>
        <v>20</v>
      </c>
      <c r="P273" s="107">
        <f>IF(OR($O273='Auto Responses'!$J$5,$L273='Auto Responses'!$J$5),'Auto Responses'!$J$5,$O273*$L273)</f>
        <v>20</v>
      </c>
      <c r="Q273" s="107">
        <f t="shared" si="32"/>
        <v>0</v>
      </c>
      <c r="R273" s="107">
        <f t="shared" si="37"/>
        <v>0</v>
      </c>
      <c r="S273" s="107">
        <f t="shared" si="33"/>
        <v>0</v>
      </c>
      <c r="T273" s="107">
        <f t="shared" si="34"/>
        <v>1</v>
      </c>
      <c r="U273" s="107">
        <f t="shared" si="38"/>
        <v>69</v>
      </c>
      <c r="V273" s="107">
        <f t="shared" si="35"/>
        <v>69</v>
      </c>
    </row>
    <row r="274" spans="1:22" ht="55.2" x14ac:dyDescent="0.3">
      <c r="A274" s="4" t="str">
        <f>Questions!$A274</f>
        <v>PRPO-13</v>
      </c>
      <c r="B274" s="4" t="str">
        <f t="shared" si="36"/>
        <v>PRPO</v>
      </c>
      <c r="C274" s="4" t="str">
        <f>VLOOKUP($A274,Questions!$A$3:$L$333,2,0)&amp;""</f>
        <v>Does your incident response team include a privacy analyst/officer?</v>
      </c>
      <c r="D274" s="4" t="str">
        <f>VLOOKUP($A274,Questions!$A$3:$L$333,11,0)&amp;""</f>
        <v/>
      </c>
      <c r="E274" s="4" t="str">
        <f>VLOOKUP($A274,Questions!$A$3:$L$333,12,0)&amp;""</f>
        <v>Privacy</v>
      </c>
      <c r="F274" s="4" t="str">
        <f>VLOOKUP($A274,'Privacy Analyst Evaluation'!$A$46:$K$120,3,0)&amp;""</f>
        <v>No</v>
      </c>
      <c r="G274" s="4" t="str">
        <f>VLOOKUP($A274,'Privacy Analyst Evaluation'!$A$46:$K$120,7,0)&amp;""</f>
        <v>Yes</v>
      </c>
      <c r="H274" s="4" t="str">
        <f>VLOOKUP($A274,'Privacy Analyst Evaluation'!$A$46:$K$120,8,0)&amp;""</f>
        <v/>
      </c>
      <c r="I274" s="4" t="str">
        <f>VLOOKUP($A274,'Privacy Analyst Evaluation'!$A$46:$K$120,9,0)&amp;""</f>
        <v>Minor Importance</v>
      </c>
      <c r="J274" s="4" t="str">
        <f>VLOOKUP($A274,'Privacy Analyst Evaluation'!$A$46:$K$120,10,0)&amp;""</f>
        <v/>
      </c>
      <c r="K274" s="4">
        <f>IF($I274='Auto Responses'!$J$11,20,IF($I274='Auto Responses'!$J$13,5,10))</f>
        <v>5</v>
      </c>
      <c r="L274" s="107">
        <f>IF($E274='Auto Responses'!$L$13, 'Auto Responses'!$J$5,IF(AND($D274='Auto Responses'!$J$27,$H274=""),'Auto Responses'!$J$5,IF(AND($D274='Auto Responses'!$J$27,$H274='Auto Responses'!$J$7),1,IF(AND($D274='Auto Responses'!$J$27,$H274='Auto Responses'!$J$8),0,IF(OR(AND($F274=$G274,$H274=""),$H274='Auto Responses'!$J$7),1,0)))))</f>
        <v>0</v>
      </c>
      <c r="M274" s="4" t="str">
        <f>VLOOKUP($A274,'Privacy Analyst Evaluation'!$A$46:$K$120,11,0)&amp;""</f>
        <v>FALSE</v>
      </c>
      <c r="N274" s="4">
        <f>IF($J274='Auto Responses'!$J$11,1,IF(AND($J274="",$I274='Auto Responses'!$J$11),1,0))</f>
        <v>0</v>
      </c>
      <c r="O274" s="107">
        <f>IF(OR($E274='Auto Responses'!$L$13,$F$24='Auto Responses'!$J$4,$F274='Auto Responses'!$J$5),'Auto Responses'!$J$5,IF($J274="",$K274,IF($J274='Auto Responses'!$J$13,5,IF($J274='Auto Responses'!$J$12,10,IF($J274='Auto Responses'!$J$11,20,0)))))</f>
        <v>5</v>
      </c>
      <c r="P274" s="107">
        <f>IF(OR($O274='Auto Responses'!$J$5,$L274='Auto Responses'!$J$5),'Auto Responses'!$J$5,$O274*$L274)</f>
        <v>0</v>
      </c>
      <c r="Q274" s="107">
        <f t="shared" si="32"/>
        <v>0</v>
      </c>
      <c r="R274" s="107">
        <f t="shared" si="37"/>
        <v>0</v>
      </c>
      <c r="S274" s="107">
        <f t="shared" si="33"/>
        <v>0</v>
      </c>
      <c r="T274" s="107">
        <f t="shared" si="34"/>
        <v>0</v>
      </c>
      <c r="U274" s="107">
        <f t="shared" si="38"/>
        <v>69</v>
      </c>
      <c r="V274" s="107">
        <f t="shared" si="35"/>
        <v>0</v>
      </c>
    </row>
    <row r="275" spans="1:22" ht="55.2" x14ac:dyDescent="0.3">
      <c r="A275" s="4" t="str">
        <f>Questions!$A275</f>
        <v>INTL-01</v>
      </c>
      <c r="B275" s="4" t="str">
        <f t="shared" si="36"/>
        <v>INTL</v>
      </c>
      <c r="C275" s="4" t="str">
        <f>VLOOKUP($A275,Questions!$A$3:$L$333,2,0)&amp;""</f>
        <v>Will data be collected from or processed in or stored in the European Economic Area (EEA)?</v>
      </c>
      <c r="D275" s="4" t="str">
        <f>VLOOKUP($A275,Questions!$A$3:$L$333,11,0)&amp;""</f>
        <v/>
      </c>
      <c r="E275" s="4" t="str">
        <f>VLOOKUP($A275,Questions!$A$3:$L$333,12,0)&amp;""</f>
        <v>Privacy</v>
      </c>
      <c r="F275" s="4" t="str">
        <f>VLOOKUP($A275,'Privacy Analyst Evaluation'!$A$46:$K$120,3,0)&amp;""</f>
        <v>No</v>
      </c>
      <c r="G275" s="4" t="str">
        <f>VLOOKUP($A275,'Privacy Analyst Evaluation'!$A$46:$K$120,7,0)&amp;""</f>
        <v>No</v>
      </c>
      <c r="H275" s="4" t="str">
        <f>VLOOKUP($A275,'Privacy Analyst Evaluation'!$A$46:$K$120,8,0)&amp;""</f>
        <v/>
      </c>
      <c r="I275" s="4" t="str">
        <f>VLOOKUP($A275,'Privacy Analyst Evaluation'!$A$46:$K$120,9,0)&amp;""</f>
        <v>Standard Importance</v>
      </c>
      <c r="J275" s="4" t="str">
        <f>VLOOKUP($A275,'Privacy Analyst Evaluation'!$A$46:$K$120,10,0)&amp;""</f>
        <v/>
      </c>
      <c r="K275" s="4">
        <f>IF($I275='Auto Responses'!$J$11,20,IF($I275='Auto Responses'!$J$13,5,10))</f>
        <v>10</v>
      </c>
      <c r="L275" s="107">
        <f>IF($E275='Auto Responses'!$L$13, 'Auto Responses'!$J$5,IF(AND($D275='Auto Responses'!$J$27,$H275=""),'Auto Responses'!$J$5,IF(AND($D275='Auto Responses'!$J$27,$H275='Auto Responses'!$J$7),1,IF(AND($D275='Auto Responses'!$J$27,$H275='Auto Responses'!$J$8),0,IF(OR(AND($F275=$G275,$H275=""),$H275='Auto Responses'!$J$7),1,0)))))</f>
        <v>1</v>
      </c>
      <c r="M275" s="4" t="str">
        <f>VLOOKUP($A275,'Privacy Analyst Evaluation'!$A$46:$K$120,11,0)&amp;""</f>
        <v>FALSE</v>
      </c>
      <c r="N275" s="4">
        <f>IF($J275='Auto Responses'!$J$11,1,IF(AND($J275="",$I275='Auto Responses'!$J$11),1,0))</f>
        <v>0</v>
      </c>
      <c r="O275" s="107">
        <f>IF(OR($E275='Auto Responses'!$L$13,$F$24='Auto Responses'!$J$4,$F275='Auto Responses'!$J$5),'Auto Responses'!$J$5,IF($J275="",$K275,IF($J275='Auto Responses'!$J$13,5,IF($J275='Auto Responses'!$J$12,10,IF($J275='Auto Responses'!$J$11,20,0)))))</f>
        <v>10</v>
      </c>
      <c r="P275" s="107">
        <f>IF(OR($O275='Auto Responses'!$J$5,$L275='Auto Responses'!$J$5),'Auto Responses'!$J$5,$O275*$L275)</f>
        <v>10</v>
      </c>
      <c r="Q275" s="107">
        <f t="shared" si="32"/>
        <v>0</v>
      </c>
      <c r="R275" s="107">
        <f t="shared" si="37"/>
        <v>0</v>
      </c>
      <c r="S275" s="107">
        <f t="shared" si="33"/>
        <v>0</v>
      </c>
      <c r="T275" s="107">
        <f t="shared" si="34"/>
        <v>0</v>
      </c>
      <c r="U275" s="107">
        <f t="shared" si="38"/>
        <v>69</v>
      </c>
      <c r="V275" s="107">
        <f t="shared" si="35"/>
        <v>0</v>
      </c>
    </row>
    <row r="276" spans="1:22" ht="55.2" x14ac:dyDescent="0.3">
      <c r="A276" s="4" t="str">
        <f>Questions!$A276</f>
        <v>INTL-02</v>
      </c>
      <c r="B276" s="4" t="str">
        <f t="shared" si="36"/>
        <v>INTL</v>
      </c>
      <c r="C276" s="4" t="str">
        <f>VLOOKUP($A276,Questions!$A$3:$L$333,2,0)&amp;""</f>
        <v>Do you have a data protection officer (DPO)?</v>
      </c>
      <c r="D276" s="4" t="str">
        <f>VLOOKUP($A276,Questions!$A$3:$L$333,11,0)&amp;""</f>
        <v/>
      </c>
      <c r="E276" s="4" t="str">
        <f>VLOOKUP($A276,Questions!$A$3:$L$333,12,0)&amp;""</f>
        <v>Privacy</v>
      </c>
      <c r="F276" s="4" t="str">
        <f>VLOOKUP($A276,'Privacy Analyst Evaluation'!$A$46:$K$120,3,0)&amp;""</f>
        <v>No</v>
      </c>
      <c r="G276" s="4" t="str">
        <f>VLOOKUP($A276,'Privacy Analyst Evaluation'!$A$46:$K$120,7,0)&amp;""</f>
        <v>Yes</v>
      </c>
      <c r="H276" s="4" t="str">
        <f>VLOOKUP($A276,'Privacy Analyst Evaluation'!$A$46:$K$120,8,0)&amp;""</f>
        <v/>
      </c>
      <c r="I276" s="4" t="str">
        <f>VLOOKUP($A276,'Privacy Analyst Evaluation'!$A$46:$K$120,9,0)&amp;""</f>
        <v>Standard Importance</v>
      </c>
      <c r="J276" s="4" t="str">
        <f>VLOOKUP($A276,'Privacy Analyst Evaluation'!$A$46:$K$120,10,0)&amp;""</f>
        <v/>
      </c>
      <c r="K276" s="4">
        <f>IF($I276='Auto Responses'!$J$11,20,IF($I276='Auto Responses'!$J$13,5,10))</f>
        <v>10</v>
      </c>
      <c r="L276" s="107">
        <f>IF($E276='Auto Responses'!$L$13, 'Auto Responses'!$J$5,IF(AND($D276='Auto Responses'!$J$27,$H276=""),'Auto Responses'!$J$5,IF(AND($D276='Auto Responses'!$J$27,$H276='Auto Responses'!$J$7),1,IF(AND($D276='Auto Responses'!$J$27,$H276='Auto Responses'!$J$8),0,IF(OR(AND($F276=$G276,$H276=""),$H276='Auto Responses'!$J$7),1,0)))))</f>
        <v>0</v>
      </c>
      <c r="M276" s="4" t="str">
        <f>VLOOKUP($A276,'Privacy Analyst Evaluation'!$A$46:$K$120,11,0)&amp;""</f>
        <v>FALSE</v>
      </c>
      <c r="N276" s="4">
        <f>IF($J276='Auto Responses'!$J$11,1,IF(AND($J276="",$I276='Auto Responses'!$J$11),1,0))</f>
        <v>0</v>
      </c>
      <c r="O276" s="107">
        <f>IF(OR($E276='Auto Responses'!$L$13,$F$24='Auto Responses'!$J$4,$F276='Auto Responses'!$J$5),'Auto Responses'!$J$5,IF($J276="",$K276,IF($J276='Auto Responses'!$J$13,5,IF($J276='Auto Responses'!$J$12,10,IF($J276='Auto Responses'!$J$11,20,0)))))</f>
        <v>10</v>
      </c>
      <c r="P276" s="107">
        <f>IF(OR($O276='Auto Responses'!$J$5,$L276='Auto Responses'!$J$5),'Auto Responses'!$J$5,$O276*$L276)</f>
        <v>0</v>
      </c>
      <c r="Q276" s="107">
        <f t="shared" si="32"/>
        <v>0</v>
      </c>
      <c r="R276" s="107">
        <f t="shared" si="37"/>
        <v>0</v>
      </c>
      <c r="S276" s="107">
        <f t="shared" si="33"/>
        <v>0</v>
      </c>
      <c r="T276" s="107">
        <f t="shared" si="34"/>
        <v>0</v>
      </c>
      <c r="U276" s="107">
        <f t="shared" si="38"/>
        <v>69</v>
      </c>
      <c r="V276" s="107">
        <f t="shared" si="35"/>
        <v>0</v>
      </c>
    </row>
    <row r="277" spans="1:22" ht="55.2" x14ac:dyDescent="0.3">
      <c r="A277" s="4" t="str">
        <f>Questions!$A277</f>
        <v>INTL-03</v>
      </c>
      <c r="B277" s="4" t="str">
        <f t="shared" si="36"/>
        <v>INTL</v>
      </c>
      <c r="C277" s="4" t="str">
        <f>VLOOKUP($A277,Questions!$A$3:$L$333,2,0)&amp;""</f>
        <v>Will you sign appropriate GDPR Standard Contractual Clauses (SCCs) with the institution?</v>
      </c>
      <c r="D277" s="4" t="str">
        <f>VLOOKUP($A277,Questions!$A$3:$L$333,11,0)&amp;""</f>
        <v/>
      </c>
      <c r="E277" s="4" t="str">
        <f>VLOOKUP($A277,Questions!$A$3:$L$333,12,0)&amp;""</f>
        <v>Privacy</v>
      </c>
      <c r="F277" s="4" t="str">
        <f>VLOOKUP($A277,'Privacy Analyst Evaluation'!$A$46:$K$120,3,0)&amp;""</f>
        <v>Yes</v>
      </c>
      <c r="G277" s="4" t="str">
        <f>VLOOKUP($A277,'Privacy Analyst Evaluation'!$A$46:$K$120,7,0)&amp;""</f>
        <v>Yes</v>
      </c>
      <c r="H277" s="4" t="str">
        <f>VLOOKUP($A277,'Privacy Analyst Evaluation'!$A$46:$K$120,8,0)&amp;""</f>
        <v/>
      </c>
      <c r="I277" s="4" t="str">
        <f>VLOOKUP($A277,'Privacy Analyst Evaluation'!$A$46:$K$120,9,0)&amp;""</f>
        <v>Standard Importance</v>
      </c>
      <c r="J277" s="4" t="str">
        <f>VLOOKUP($A277,'Privacy Analyst Evaluation'!$A$46:$K$120,10,0)&amp;""</f>
        <v/>
      </c>
      <c r="K277" s="4">
        <f>IF($I277='Auto Responses'!$J$11,20,IF($I277='Auto Responses'!$J$13,5,10))</f>
        <v>10</v>
      </c>
      <c r="L277" s="107">
        <f>IF($E277='Auto Responses'!$L$13, 'Auto Responses'!$J$5,IF(AND($D277='Auto Responses'!$J$27,$H277=""),'Auto Responses'!$J$5,IF(AND($D277='Auto Responses'!$J$27,$H277='Auto Responses'!$J$7),1,IF(AND($D277='Auto Responses'!$J$27,$H277='Auto Responses'!$J$8),0,IF(OR(AND($F277=$G277,$H277=""),$H277='Auto Responses'!$J$7),1,0)))))</f>
        <v>1</v>
      </c>
      <c r="M277" s="4" t="str">
        <f>VLOOKUP($A277,'Privacy Analyst Evaluation'!$A$46:$K$120,11,0)&amp;""</f>
        <v>FALSE</v>
      </c>
      <c r="N277" s="4">
        <f>IF($J277='Auto Responses'!$J$11,1,IF(AND($J277="",$I277='Auto Responses'!$J$11),1,0))</f>
        <v>0</v>
      </c>
      <c r="O277" s="107">
        <f>IF(OR($E277='Auto Responses'!$L$13,$F$24='Auto Responses'!$J$4,$F277='Auto Responses'!$J$5),'Auto Responses'!$J$5,IF($J277="",$K277,IF($J277='Auto Responses'!$J$13,5,IF($J277='Auto Responses'!$J$12,10,IF($J277='Auto Responses'!$J$11,20,0)))))</f>
        <v>10</v>
      </c>
      <c r="P277" s="107">
        <f>IF(OR($O277='Auto Responses'!$J$5,$L277='Auto Responses'!$J$5),'Auto Responses'!$J$5,$O277*$L277)</f>
        <v>10</v>
      </c>
      <c r="Q277" s="107">
        <f t="shared" si="32"/>
        <v>0</v>
      </c>
      <c r="R277" s="107">
        <f t="shared" si="37"/>
        <v>0</v>
      </c>
      <c r="S277" s="107">
        <f t="shared" si="33"/>
        <v>0</v>
      </c>
      <c r="T277" s="107">
        <f t="shared" si="34"/>
        <v>0</v>
      </c>
      <c r="U277" s="107">
        <f t="shared" si="38"/>
        <v>69</v>
      </c>
      <c r="V277" s="107">
        <f t="shared" si="35"/>
        <v>0</v>
      </c>
    </row>
    <row r="278" spans="1:22" ht="55.2" x14ac:dyDescent="0.3">
      <c r="A278" s="4" t="str">
        <f>Questions!$A278</f>
        <v>INTL-04</v>
      </c>
      <c r="B278" s="4" t="str">
        <f t="shared" si="36"/>
        <v>INTL</v>
      </c>
      <c r="C278" s="4" t="str">
        <f>VLOOKUP($A278,Questions!$A$3:$L$333,2,0)&amp;""</f>
        <v>Will data be collected from or processed in or stored in China?</v>
      </c>
      <c r="D278" s="4" t="str">
        <f>VLOOKUP($A278,Questions!$A$3:$L$333,11,0)&amp;""</f>
        <v/>
      </c>
      <c r="E278" s="4" t="str">
        <f>VLOOKUP($A278,Questions!$A$3:$L$333,12,0)&amp;""</f>
        <v>Privacy</v>
      </c>
      <c r="F278" s="4" t="str">
        <f>VLOOKUP($A278,'Privacy Analyst Evaluation'!$A$46:$K$120,3,0)&amp;""</f>
        <v>Yes</v>
      </c>
      <c r="G278" s="4" t="str">
        <f>VLOOKUP($A278,'Privacy Analyst Evaluation'!$A$46:$K$120,7,0)&amp;""</f>
        <v>No</v>
      </c>
      <c r="H278" s="4" t="str">
        <f>VLOOKUP($A278,'Privacy Analyst Evaluation'!$A$46:$K$120,8,0)&amp;""</f>
        <v/>
      </c>
      <c r="I278" s="4" t="str">
        <f>VLOOKUP($A278,'Privacy Analyst Evaluation'!$A$46:$K$120,9,0)&amp;""</f>
        <v>Standard Importance</v>
      </c>
      <c r="J278" s="4" t="str">
        <f>VLOOKUP($A278,'Privacy Analyst Evaluation'!$A$46:$K$120,10,0)&amp;""</f>
        <v/>
      </c>
      <c r="K278" s="4">
        <f>IF($I278='Auto Responses'!$J$11,20,IF($I278='Auto Responses'!$J$13,5,10))</f>
        <v>10</v>
      </c>
      <c r="L278" s="107">
        <f>IF($E278='Auto Responses'!$L$13, 'Auto Responses'!$J$5,IF(AND($D278='Auto Responses'!$J$27,$H278=""),'Auto Responses'!$J$5,IF(AND($D278='Auto Responses'!$J$27,$H278='Auto Responses'!$J$7),1,IF(AND($D278='Auto Responses'!$J$27,$H278='Auto Responses'!$J$8),0,IF(OR(AND($F278=$G278,$H278=""),$H278='Auto Responses'!$J$7),1,0)))))</f>
        <v>0</v>
      </c>
      <c r="M278" s="4" t="str">
        <f>VLOOKUP($A278,'Privacy Analyst Evaluation'!$A$46:$K$120,11,0)&amp;""</f>
        <v>FALSE</v>
      </c>
      <c r="N278" s="4">
        <f>IF($J278='Auto Responses'!$J$11,1,IF(AND($J278="",$I278='Auto Responses'!$J$11),1,0))</f>
        <v>0</v>
      </c>
      <c r="O278" s="107">
        <f>IF(OR($E278='Auto Responses'!$L$13,$F$24='Auto Responses'!$J$4,$F278='Auto Responses'!$J$5),'Auto Responses'!$J$5,IF($J278="",$K278,IF($J278='Auto Responses'!$J$13,5,IF($J278='Auto Responses'!$J$12,10,IF($J278='Auto Responses'!$J$11,20,0)))))</f>
        <v>10</v>
      </c>
      <c r="P278" s="107">
        <f>IF(OR($O278='Auto Responses'!$J$5,$L278='Auto Responses'!$J$5),'Auto Responses'!$J$5,$O278*$L278)</f>
        <v>0</v>
      </c>
      <c r="Q278" s="107">
        <f t="shared" si="32"/>
        <v>0</v>
      </c>
      <c r="R278" s="107">
        <f t="shared" si="37"/>
        <v>0</v>
      </c>
      <c r="S278" s="107">
        <f t="shared" si="33"/>
        <v>0</v>
      </c>
      <c r="T278" s="107">
        <f t="shared" si="34"/>
        <v>0</v>
      </c>
      <c r="U278" s="107">
        <f t="shared" si="38"/>
        <v>69</v>
      </c>
      <c r="V278" s="107">
        <f t="shared" si="35"/>
        <v>0</v>
      </c>
    </row>
    <row r="279" spans="1:22" ht="55.2" x14ac:dyDescent="0.3">
      <c r="A279" s="4" t="str">
        <f>Questions!$A279</f>
        <v>INTL-05</v>
      </c>
      <c r="B279" s="4" t="str">
        <f t="shared" si="36"/>
        <v>INTL</v>
      </c>
      <c r="C279" s="4" t="str">
        <f>VLOOKUP($A279,Questions!$A$3:$L$333,2,0)&amp;""</f>
        <v>Do you comply with PIPL security, privacy, and data localization requirements?</v>
      </c>
      <c r="D279" s="4" t="str">
        <f>VLOOKUP($A279,Questions!$A$3:$L$333,11,0)&amp;""</f>
        <v/>
      </c>
      <c r="E279" s="4" t="str">
        <f>VLOOKUP($A279,Questions!$A$3:$L$333,12,0)&amp;""</f>
        <v>Privacy</v>
      </c>
      <c r="F279" s="4" t="str">
        <f>VLOOKUP($A279,'Privacy Analyst Evaluation'!$A$46:$K$120,3,0)&amp;""</f>
        <v>No</v>
      </c>
      <c r="G279" s="4" t="str">
        <f>VLOOKUP($A279,'Privacy Analyst Evaluation'!$A$46:$K$120,7,0)&amp;""</f>
        <v>Yes</v>
      </c>
      <c r="H279" s="4" t="str">
        <f>VLOOKUP($A279,'Privacy Analyst Evaluation'!$A$46:$K$120,8,0)&amp;""</f>
        <v/>
      </c>
      <c r="I279" s="4" t="str">
        <f>VLOOKUP($A279,'Privacy Analyst Evaluation'!$A$46:$K$120,9,0)&amp;""</f>
        <v>Standard Importance</v>
      </c>
      <c r="J279" s="4" t="str">
        <f>VLOOKUP($A279,'Privacy Analyst Evaluation'!$A$46:$K$120,10,0)&amp;""</f>
        <v/>
      </c>
      <c r="K279" s="4">
        <f>IF($I279='Auto Responses'!$J$11,20,IF($I279='Auto Responses'!$J$13,5,10))</f>
        <v>10</v>
      </c>
      <c r="L279" s="107">
        <f>IF($E279='Auto Responses'!$L$13, 'Auto Responses'!$J$5,IF(AND($D279='Auto Responses'!$J$27,$H279=""),'Auto Responses'!$J$5,IF(AND($D279='Auto Responses'!$J$27,$H279='Auto Responses'!$J$7),1,IF(AND($D279='Auto Responses'!$J$27,$H279='Auto Responses'!$J$8),0,IF(OR(AND($F279=$G279,$H279=""),$H279='Auto Responses'!$J$7),1,0)))))</f>
        <v>0</v>
      </c>
      <c r="M279" s="4" t="str">
        <f>VLOOKUP($A279,'Privacy Analyst Evaluation'!$A$46:$K$120,11,0)&amp;""</f>
        <v>FALSE</v>
      </c>
      <c r="N279" s="4">
        <f>IF($J279='Auto Responses'!$J$11,1,IF(AND($J279="",$I279='Auto Responses'!$J$11),1,0))</f>
        <v>0</v>
      </c>
      <c r="O279" s="107">
        <f>IF(OR($E279='Auto Responses'!$L$13,$F$24='Auto Responses'!$J$4,$F279='Auto Responses'!$J$5),'Auto Responses'!$J$5,IF($J279="",$K279,IF($J279='Auto Responses'!$J$13,5,IF($J279='Auto Responses'!$J$12,10,IF($J279='Auto Responses'!$J$11,20,0)))))</f>
        <v>10</v>
      </c>
      <c r="P279" s="107">
        <f>IF(OR($O279='Auto Responses'!$J$5,$L279='Auto Responses'!$J$5),'Auto Responses'!$J$5,$O279*$L279)</f>
        <v>0</v>
      </c>
      <c r="Q279" s="107">
        <f t="shared" si="32"/>
        <v>0</v>
      </c>
      <c r="R279" s="107">
        <f t="shared" si="37"/>
        <v>0</v>
      </c>
      <c r="S279" s="107">
        <f t="shared" si="33"/>
        <v>0</v>
      </c>
      <c r="T279" s="107">
        <f t="shared" si="34"/>
        <v>0</v>
      </c>
      <c r="U279" s="107">
        <f t="shared" si="38"/>
        <v>69</v>
      </c>
      <c r="V279" s="107">
        <f t="shared" si="35"/>
        <v>0</v>
      </c>
    </row>
    <row r="280" spans="1:22" ht="55.2" x14ac:dyDescent="0.3">
      <c r="A280" s="4" t="str">
        <f>Questions!$A280</f>
        <v>DRPV-01</v>
      </c>
      <c r="B280" s="4" t="str">
        <f t="shared" si="36"/>
        <v>DRPV</v>
      </c>
      <c r="C280" s="4" t="str">
        <f>VLOOKUP($A280,Questions!$A$3:$L$333,2,0)&amp;""</f>
        <v>Have you performed a Data Privacy Impact Assessment for the solution/project?</v>
      </c>
      <c r="D280" s="4" t="str">
        <f>VLOOKUP($A280,Questions!$A$3:$L$333,11,0)&amp;""</f>
        <v/>
      </c>
      <c r="E280" s="4" t="str">
        <f>VLOOKUP($A280,Questions!$A$3:$L$333,12,0)&amp;""</f>
        <v>Privacy</v>
      </c>
      <c r="F280" s="4" t="str">
        <f>VLOOKUP($A280,'Privacy Analyst Evaluation'!$A$46:$K$120,3,0)&amp;""</f>
        <v>No</v>
      </c>
      <c r="G280" s="4" t="str">
        <f>VLOOKUP($A280,'Privacy Analyst Evaluation'!$A$46:$K$120,7,0)&amp;""</f>
        <v>Yes</v>
      </c>
      <c r="H280" s="4" t="str">
        <f>VLOOKUP($A280,'Privacy Analyst Evaluation'!$A$46:$K$120,8,0)&amp;""</f>
        <v/>
      </c>
      <c r="I280" s="4" t="str">
        <f>VLOOKUP($A280,'Privacy Analyst Evaluation'!$A$46:$K$120,9,0)&amp;""</f>
        <v>Standard Importance</v>
      </c>
      <c r="J280" s="4" t="str">
        <f>VLOOKUP($A280,'Privacy Analyst Evaluation'!$A$46:$K$120,10,0)&amp;""</f>
        <v/>
      </c>
      <c r="K280" s="4">
        <f>IF($I280='Auto Responses'!$J$11,20,IF($I280='Auto Responses'!$J$13,5,10))</f>
        <v>10</v>
      </c>
      <c r="L280" s="107">
        <f>IF($E280='Auto Responses'!$L$13, 'Auto Responses'!$J$5,IF(AND($D280='Auto Responses'!$J$27,$H280=""),'Auto Responses'!$J$5,IF(AND($D280='Auto Responses'!$J$27,$H280='Auto Responses'!$J$7),1,IF(AND($D280='Auto Responses'!$J$27,$H280='Auto Responses'!$J$8),0,IF(OR(AND($F280=$G280,$H280=""),$H280='Auto Responses'!$J$7),1,0)))))</f>
        <v>0</v>
      </c>
      <c r="M280" s="4" t="str">
        <f>VLOOKUP($A280,'Privacy Analyst Evaluation'!$A$46:$K$120,11,0)&amp;""</f>
        <v>FALSE</v>
      </c>
      <c r="N280" s="4">
        <f>IF($J280='Auto Responses'!$J$11,1,IF(AND($J280="",$I280='Auto Responses'!$J$11),1,0))</f>
        <v>0</v>
      </c>
      <c r="O280" s="107">
        <f>IF(OR($E280='Auto Responses'!$L$13,$F$24='Auto Responses'!$J$4,$F280='Auto Responses'!$J$5),'Auto Responses'!$J$5,IF($J280="",$K280,IF($J280='Auto Responses'!$J$13,5,IF($J280='Auto Responses'!$J$12,10,IF($J280='Auto Responses'!$J$11,20,0)))))</f>
        <v>10</v>
      </c>
      <c r="P280" s="107">
        <f>IF(OR($O280='Auto Responses'!$J$5,$L280='Auto Responses'!$J$5),'Auto Responses'!$J$5,$O280*$L280)</f>
        <v>0</v>
      </c>
      <c r="Q280" s="107">
        <f t="shared" si="32"/>
        <v>0</v>
      </c>
      <c r="R280" s="107">
        <f t="shared" si="37"/>
        <v>0</v>
      </c>
      <c r="S280" s="107">
        <f t="shared" si="33"/>
        <v>0</v>
      </c>
      <c r="T280" s="107">
        <f t="shared" si="34"/>
        <v>0</v>
      </c>
      <c r="U280" s="107">
        <f t="shared" si="38"/>
        <v>69</v>
      </c>
      <c r="V280" s="107">
        <f t="shared" si="35"/>
        <v>0</v>
      </c>
    </row>
    <row r="281" spans="1:22" ht="55.2" x14ac:dyDescent="0.3">
      <c r="A281" s="4" t="str">
        <f>Questions!$A281</f>
        <v>DRPV-02</v>
      </c>
      <c r="B281" s="4" t="str">
        <f t="shared" si="36"/>
        <v>DRPV</v>
      </c>
      <c r="C281" s="4" t="str">
        <f>VLOOKUP($A281,Questions!$A$3:$L$333,2,0)&amp;""</f>
        <v>Do you provide an end-user privacy notice about privacy policies and procedures that identify the purpose(s) for which personal information is collected, used, retained, and disclosed?</v>
      </c>
      <c r="D281" s="4" t="str">
        <f>VLOOKUP($A281,Questions!$A$3:$L$333,11,0)&amp;""</f>
        <v/>
      </c>
      <c r="E281" s="4" t="str">
        <f>VLOOKUP($A281,Questions!$A$3:$L$333,12,0)&amp;""</f>
        <v>Privacy</v>
      </c>
      <c r="F281" s="4" t="str">
        <f>VLOOKUP($A281,'Privacy Analyst Evaluation'!$A$46:$K$120,3,0)&amp;""</f>
        <v>Yes</v>
      </c>
      <c r="G281" s="4" t="str">
        <f>VLOOKUP($A281,'Privacy Analyst Evaluation'!$A$46:$K$120,7,0)&amp;""</f>
        <v>Yes</v>
      </c>
      <c r="H281" s="4" t="str">
        <f>VLOOKUP($A281,'Privacy Analyst Evaluation'!$A$46:$K$120,8,0)&amp;""</f>
        <v/>
      </c>
      <c r="I281" s="4" t="str">
        <f>VLOOKUP($A281,'Privacy Analyst Evaluation'!$A$46:$K$120,9,0)&amp;""</f>
        <v>Standard Importance</v>
      </c>
      <c r="J281" s="4" t="str">
        <f>VLOOKUP($A281,'Privacy Analyst Evaluation'!$A$46:$K$120,10,0)&amp;""</f>
        <v/>
      </c>
      <c r="K281" s="4">
        <f>IF($I281='Auto Responses'!$J$11,20,IF($I281='Auto Responses'!$J$13,5,10))</f>
        <v>10</v>
      </c>
      <c r="L281" s="107">
        <f>IF($E281='Auto Responses'!$L$13, 'Auto Responses'!$J$5,IF(AND($D281='Auto Responses'!$J$27,$H281=""),'Auto Responses'!$J$5,IF(AND($D281='Auto Responses'!$J$27,$H281='Auto Responses'!$J$7),1,IF(AND($D281='Auto Responses'!$J$27,$H281='Auto Responses'!$J$8),0,IF(OR(AND($F281=$G281,$H281=""),$H281='Auto Responses'!$J$7),1,0)))))</f>
        <v>1</v>
      </c>
      <c r="M281" s="4" t="str">
        <f>VLOOKUP($A281,'Privacy Analyst Evaluation'!$A$46:$K$120,11,0)&amp;""</f>
        <v>FALSE</v>
      </c>
      <c r="N281" s="4">
        <f>IF($J281='Auto Responses'!$J$11,1,IF(AND($J281="",$I281='Auto Responses'!$J$11),1,0))</f>
        <v>0</v>
      </c>
      <c r="O281" s="107">
        <f>IF(OR($E281='Auto Responses'!$L$13,$F$24='Auto Responses'!$J$4,$F281='Auto Responses'!$J$5),'Auto Responses'!$J$5,IF($J281="",$K281,IF($J281='Auto Responses'!$J$13,5,IF($J281='Auto Responses'!$J$12,10,IF($J281='Auto Responses'!$J$11,20,0)))))</f>
        <v>10</v>
      </c>
      <c r="P281" s="107">
        <f>IF(OR($O281='Auto Responses'!$J$5,$L281='Auto Responses'!$J$5),'Auto Responses'!$J$5,$O281*$L281)</f>
        <v>10</v>
      </c>
      <c r="Q281" s="107">
        <f t="shared" si="32"/>
        <v>0</v>
      </c>
      <c r="R281" s="107">
        <f t="shared" si="37"/>
        <v>0</v>
      </c>
      <c r="S281" s="107">
        <f t="shared" si="33"/>
        <v>0</v>
      </c>
      <c r="T281" s="107">
        <f t="shared" si="34"/>
        <v>0</v>
      </c>
      <c r="U281" s="107">
        <f t="shared" si="38"/>
        <v>69</v>
      </c>
      <c r="V281" s="107">
        <f t="shared" si="35"/>
        <v>0</v>
      </c>
    </row>
    <row r="282" spans="1:22" ht="55.2" x14ac:dyDescent="0.3">
      <c r="A282" s="4" t="str">
        <f>Questions!$A282</f>
        <v>DRPV-03</v>
      </c>
      <c r="B282" s="4" t="str">
        <f t="shared" si="36"/>
        <v>DRPV</v>
      </c>
      <c r="C282" s="4" t="str">
        <f>VLOOKUP($A282,Questions!$A$3:$L$333,2,0)&amp;""</f>
        <v>Do you describe the choices available to the individual and obtain implicit or explicit consent with respect to the collection, use, and disclosure of personal information?</v>
      </c>
      <c r="D282" s="4" t="str">
        <f>VLOOKUP($A282,Questions!$A$3:$L$333,11,0)&amp;""</f>
        <v/>
      </c>
      <c r="E282" s="4" t="str">
        <f>VLOOKUP($A282,Questions!$A$3:$L$333,12,0)&amp;""</f>
        <v>Privacy</v>
      </c>
      <c r="F282" s="4" t="str">
        <f>VLOOKUP($A282,'Privacy Analyst Evaluation'!$A$46:$K$120,3,0)&amp;""</f>
        <v>Yes</v>
      </c>
      <c r="G282" s="4" t="str">
        <f>VLOOKUP($A282,'Privacy Analyst Evaluation'!$A$46:$K$120,7,0)&amp;""</f>
        <v>Yes</v>
      </c>
      <c r="H282" s="4" t="str">
        <f>VLOOKUP($A282,'Privacy Analyst Evaluation'!$A$46:$K$120,8,0)&amp;""</f>
        <v/>
      </c>
      <c r="I282" s="4" t="str">
        <f>VLOOKUP($A282,'Privacy Analyst Evaluation'!$A$46:$K$120,9,0)&amp;""</f>
        <v>Standard Importance</v>
      </c>
      <c r="J282" s="4" t="str">
        <f>VLOOKUP($A282,'Privacy Analyst Evaluation'!$A$46:$K$120,10,0)&amp;""</f>
        <v/>
      </c>
      <c r="K282" s="4">
        <f>IF($I282='Auto Responses'!$J$11,20,IF($I282='Auto Responses'!$J$13,5,10))</f>
        <v>10</v>
      </c>
      <c r="L282" s="107">
        <f>IF($E282='Auto Responses'!$L$13, 'Auto Responses'!$J$5,IF(AND($D282='Auto Responses'!$J$27,$H282=""),'Auto Responses'!$J$5,IF(AND($D282='Auto Responses'!$J$27,$H282='Auto Responses'!$J$7),1,IF(AND($D282='Auto Responses'!$J$27,$H282='Auto Responses'!$J$8),0,IF(OR(AND($F282=$G282,$H282=""),$H282='Auto Responses'!$J$7),1,0)))))</f>
        <v>1</v>
      </c>
      <c r="M282" s="4" t="str">
        <f>VLOOKUP($A282,'Privacy Analyst Evaluation'!$A$46:$K$120,11,0)&amp;""</f>
        <v>FALSE</v>
      </c>
      <c r="N282" s="4">
        <f>IF($J282='Auto Responses'!$J$11,1,IF(AND($J282="",$I282='Auto Responses'!$J$11),1,0))</f>
        <v>0</v>
      </c>
      <c r="O282" s="107">
        <f>IF(OR($E282='Auto Responses'!$L$13,$F$24='Auto Responses'!$J$4,$F282='Auto Responses'!$J$5),'Auto Responses'!$J$5,IF($J282="",$K282,IF($J282='Auto Responses'!$J$13,5,IF($J282='Auto Responses'!$J$12,10,IF($J282='Auto Responses'!$J$11,20,0)))))</f>
        <v>10</v>
      </c>
      <c r="P282" s="107">
        <f>IF(OR($O282='Auto Responses'!$J$5,$L282='Auto Responses'!$J$5),'Auto Responses'!$J$5,$O282*$L282)</f>
        <v>10</v>
      </c>
      <c r="Q282" s="107">
        <f t="shared" si="32"/>
        <v>0</v>
      </c>
      <c r="R282" s="107">
        <f t="shared" si="37"/>
        <v>0</v>
      </c>
      <c r="S282" s="107">
        <f t="shared" si="33"/>
        <v>0</v>
      </c>
      <c r="T282" s="107">
        <f t="shared" si="34"/>
        <v>0</v>
      </c>
      <c r="U282" s="107">
        <f t="shared" si="38"/>
        <v>69</v>
      </c>
      <c r="V282" s="107">
        <f t="shared" si="35"/>
        <v>0</v>
      </c>
    </row>
    <row r="283" spans="1:22" ht="55.2" x14ac:dyDescent="0.3">
      <c r="A283" s="4" t="str">
        <f>Questions!$A283</f>
        <v>DRPV-04</v>
      </c>
      <c r="B283" s="4" t="str">
        <f t="shared" si="36"/>
        <v>DRPV</v>
      </c>
      <c r="C283" s="4" t="str">
        <f>VLOOKUP($A283,Questions!$A$3:$L$333,2,0)&amp;""</f>
        <v>Do you collect personal information only for the purpose(s) identified in the agreement with an institution or, if there is none, the purpose(s) identified in the privacy notice?</v>
      </c>
      <c r="D283" s="4" t="str">
        <f>VLOOKUP($A283,Questions!$A$3:$L$333,11,0)&amp;""</f>
        <v/>
      </c>
      <c r="E283" s="4" t="str">
        <f>VLOOKUP($A283,Questions!$A$3:$L$333,12,0)&amp;""</f>
        <v>Privacy</v>
      </c>
      <c r="F283" s="4" t="str">
        <f>VLOOKUP($A283,'Privacy Analyst Evaluation'!$A$46:$K$120,3,0)&amp;""</f>
        <v>Yes</v>
      </c>
      <c r="G283" s="4" t="str">
        <f>VLOOKUP($A283,'Privacy Analyst Evaluation'!$A$46:$K$120,7,0)&amp;""</f>
        <v>Yes</v>
      </c>
      <c r="H283" s="4" t="str">
        <f>VLOOKUP($A283,'Privacy Analyst Evaluation'!$A$46:$K$120,8,0)&amp;""</f>
        <v/>
      </c>
      <c r="I283" s="4" t="str">
        <f>VLOOKUP($A283,'Privacy Analyst Evaluation'!$A$46:$K$120,9,0)&amp;""</f>
        <v>Standard Importance</v>
      </c>
      <c r="J283" s="4" t="str">
        <f>VLOOKUP($A283,'Privacy Analyst Evaluation'!$A$46:$K$120,10,0)&amp;""</f>
        <v/>
      </c>
      <c r="K283" s="4">
        <f>IF($I283='Auto Responses'!$J$11,20,IF($I283='Auto Responses'!$J$13,5,10))</f>
        <v>10</v>
      </c>
      <c r="L283" s="107">
        <f>IF($E283='Auto Responses'!$L$13, 'Auto Responses'!$J$5,IF(AND($D283='Auto Responses'!$J$27,$H283=""),'Auto Responses'!$J$5,IF(AND($D283='Auto Responses'!$J$27,$H283='Auto Responses'!$J$7),1,IF(AND($D283='Auto Responses'!$J$27,$H283='Auto Responses'!$J$8),0,IF(OR(AND($F283=$G283,$H283=""),$H283='Auto Responses'!$J$7),1,0)))))</f>
        <v>1</v>
      </c>
      <c r="M283" s="4" t="str">
        <f>VLOOKUP($A283,'Privacy Analyst Evaluation'!$A$46:$K$120,11,0)&amp;""</f>
        <v>FALSE</v>
      </c>
      <c r="N283" s="4">
        <f>IF($J283='Auto Responses'!$J$11,1,IF(AND($J283="",$I283='Auto Responses'!$J$11),1,0))</f>
        <v>0</v>
      </c>
      <c r="O283" s="107">
        <f>IF(OR($E283='Auto Responses'!$L$13,$F$24='Auto Responses'!$J$4,$F283='Auto Responses'!$J$5),'Auto Responses'!$J$5,IF($J283="",$K283,IF($J283='Auto Responses'!$J$13,5,IF($J283='Auto Responses'!$J$12,10,IF($J283='Auto Responses'!$J$11,20,0)))))</f>
        <v>10</v>
      </c>
      <c r="P283" s="107">
        <f>IF(OR($O283='Auto Responses'!$J$5,$L283='Auto Responses'!$J$5),'Auto Responses'!$J$5,$O283*$L283)</f>
        <v>10</v>
      </c>
      <c r="Q283" s="107">
        <f t="shared" si="32"/>
        <v>0</v>
      </c>
      <c r="R283" s="107">
        <f t="shared" si="37"/>
        <v>0</v>
      </c>
      <c r="S283" s="107">
        <f t="shared" si="33"/>
        <v>0</v>
      </c>
      <c r="T283" s="107">
        <f t="shared" si="34"/>
        <v>0</v>
      </c>
      <c r="U283" s="107">
        <f t="shared" si="38"/>
        <v>69</v>
      </c>
      <c r="V283" s="107">
        <f t="shared" si="35"/>
        <v>0</v>
      </c>
    </row>
    <row r="284" spans="1:22" ht="55.2" x14ac:dyDescent="0.3">
      <c r="A284" s="4" t="str">
        <f>Questions!$A284</f>
        <v>DRPV-05</v>
      </c>
      <c r="B284" s="4" t="str">
        <f t="shared" si="36"/>
        <v>DRPV</v>
      </c>
      <c r="C284" s="4" t="str">
        <f>VLOOKUP($A284,Questions!$A$3:$L$333,2,0)&amp;""</f>
        <v>Do you have a documented list of personal data your service maintains?</v>
      </c>
      <c r="D284" s="4" t="str">
        <f>VLOOKUP($A284,Questions!$A$3:$L$333,11,0)&amp;""</f>
        <v/>
      </c>
      <c r="E284" s="4" t="str">
        <f>VLOOKUP($A284,Questions!$A$3:$L$333,12,0)&amp;""</f>
        <v>Privacy</v>
      </c>
      <c r="F284" s="4" t="str">
        <f>VLOOKUP($A284,'Privacy Analyst Evaluation'!$A$46:$K$120,3,0)&amp;""</f>
        <v>Yes</v>
      </c>
      <c r="G284" s="4" t="str">
        <f>VLOOKUP($A284,'Privacy Analyst Evaluation'!$A$46:$K$120,7,0)&amp;""</f>
        <v>Yes</v>
      </c>
      <c r="H284" s="4" t="str">
        <f>VLOOKUP($A284,'Privacy Analyst Evaluation'!$A$46:$K$120,8,0)&amp;""</f>
        <v/>
      </c>
      <c r="I284" s="4" t="str">
        <f>VLOOKUP($A284,'Privacy Analyst Evaluation'!$A$46:$K$120,9,0)&amp;""</f>
        <v>Standard Importance</v>
      </c>
      <c r="J284" s="4" t="str">
        <f>VLOOKUP($A284,'Privacy Analyst Evaluation'!$A$46:$K$120,10,0)&amp;""</f>
        <v/>
      </c>
      <c r="K284" s="4">
        <f>IF($I284='Auto Responses'!$J$11,20,IF($I284='Auto Responses'!$J$13,5,10))</f>
        <v>10</v>
      </c>
      <c r="L284" s="107">
        <f>IF($E284='Auto Responses'!$L$13, 'Auto Responses'!$J$5,IF(AND($D284='Auto Responses'!$J$27,$H284=""),'Auto Responses'!$J$5,IF(AND($D284='Auto Responses'!$J$27,$H284='Auto Responses'!$J$7),1,IF(AND($D284='Auto Responses'!$J$27,$H284='Auto Responses'!$J$8),0,IF(OR(AND($F284=$G284,$H284=""),$H284='Auto Responses'!$J$7),1,0)))))</f>
        <v>1</v>
      </c>
      <c r="M284" s="4" t="str">
        <f>VLOOKUP($A284,'Privacy Analyst Evaluation'!$A$46:$K$120,11,0)&amp;""</f>
        <v>FALSE</v>
      </c>
      <c r="N284" s="4">
        <f>IF($J284='Auto Responses'!$J$11,1,IF(AND($J284="",$I284='Auto Responses'!$J$11),1,0))</f>
        <v>0</v>
      </c>
      <c r="O284" s="107">
        <f>IF(OR($E284='Auto Responses'!$L$13,$F$24='Auto Responses'!$J$4,$F284='Auto Responses'!$J$5),'Auto Responses'!$J$5,IF($J284="",$K284,IF($J284='Auto Responses'!$J$13,5,IF($J284='Auto Responses'!$J$12,10,IF($J284='Auto Responses'!$J$11,20,0)))))</f>
        <v>10</v>
      </c>
      <c r="P284" s="107">
        <f>IF(OR($O284='Auto Responses'!$J$5,$L284='Auto Responses'!$J$5),'Auto Responses'!$J$5,$O284*$L284)</f>
        <v>10</v>
      </c>
      <c r="Q284" s="107">
        <f t="shared" si="32"/>
        <v>0</v>
      </c>
      <c r="R284" s="107">
        <f t="shared" si="37"/>
        <v>0</v>
      </c>
      <c r="S284" s="107">
        <f t="shared" si="33"/>
        <v>0</v>
      </c>
      <c r="T284" s="107">
        <f t="shared" si="34"/>
        <v>0</v>
      </c>
      <c r="U284" s="107">
        <f t="shared" si="38"/>
        <v>69</v>
      </c>
      <c r="V284" s="107">
        <f t="shared" si="35"/>
        <v>0</v>
      </c>
    </row>
    <row r="285" spans="1:22" ht="55.2" x14ac:dyDescent="0.3">
      <c r="A285" s="4" t="str">
        <f>Questions!$A285</f>
        <v>DRPV-06</v>
      </c>
      <c r="B285" s="4" t="str">
        <f t="shared" si="36"/>
        <v>DRPV</v>
      </c>
      <c r="C285" s="4" t="str">
        <f>VLOOKUP($A285,Questions!$A$3:$L$333,2,0)&amp;""</f>
        <v>Do you retain personal information for only as long as necessary to fulfill the stated purpose(s) or as required by law or regulation and thereafter appropriately dispose of such information?</v>
      </c>
      <c r="D285" s="4" t="str">
        <f>VLOOKUP($A285,Questions!$A$3:$L$333,11,0)&amp;""</f>
        <v/>
      </c>
      <c r="E285" s="4" t="str">
        <f>VLOOKUP($A285,Questions!$A$3:$L$333,12,0)&amp;""</f>
        <v>Privacy</v>
      </c>
      <c r="F285" s="4" t="str">
        <f>VLOOKUP($A285,'Privacy Analyst Evaluation'!$A$46:$K$120,3,0)&amp;""</f>
        <v>Yes</v>
      </c>
      <c r="G285" s="4" t="str">
        <f>VLOOKUP($A285,'Privacy Analyst Evaluation'!$A$46:$K$120,7,0)&amp;""</f>
        <v>Yes</v>
      </c>
      <c r="H285" s="4" t="str">
        <f>VLOOKUP($A285,'Privacy Analyst Evaluation'!$A$46:$K$120,8,0)&amp;""</f>
        <v/>
      </c>
      <c r="I285" s="4" t="str">
        <f>VLOOKUP($A285,'Privacy Analyst Evaluation'!$A$46:$K$120,9,0)&amp;""</f>
        <v>Standard Importance</v>
      </c>
      <c r="J285" s="4" t="str">
        <f>VLOOKUP($A285,'Privacy Analyst Evaluation'!$A$46:$K$120,10,0)&amp;""</f>
        <v/>
      </c>
      <c r="K285" s="4">
        <f>IF($I285='Auto Responses'!$J$11,20,IF($I285='Auto Responses'!$J$13,5,10))</f>
        <v>10</v>
      </c>
      <c r="L285" s="107">
        <f>IF($E285='Auto Responses'!$L$13, 'Auto Responses'!$J$5,IF(AND($D285='Auto Responses'!$J$27,$H285=""),'Auto Responses'!$J$5,IF(AND($D285='Auto Responses'!$J$27,$H285='Auto Responses'!$J$7),1,IF(AND($D285='Auto Responses'!$J$27,$H285='Auto Responses'!$J$8),0,IF(OR(AND($F285=$G285,$H285=""),$H285='Auto Responses'!$J$7),1,0)))))</f>
        <v>1</v>
      </c>
      <c r="M285" s="4" t="str">
        <f>VLOOKUP($A285,'Privacy Analyst Evaluation'!$A$46:$K$120,11,0)&amp;""</f>
        <v>FALSE</v>
      </c>
      <c r="N285" s="4">
        <f>IF($J285='Auto Responses'!$J$11,1,IF(AND($J285="",$I285='Auto Responses'!$J$11),1,0))</f>
        <v>0</v>
      </c>
      <c r="O285" s="107">
        <f>IF(OR($E285='Auto Responses'!$L$13,$F$24='Auto Responses'!$J$4,$F285='Auto Responses'!$J$5),'Auto Responses'!$J$5,IF($J285="",$K285,IF($J285='Auto Responses'!$J$13,5,IF($J285='Auto Responses'!$J$12,10,IF($J285='Auto Responses'!$J$11,20,0)))))</f>
        <v>10</v>
      </c>
      <c r="P285" s="107">
        <f>IF(OR($O285='Auto Responses'!$J$5,$L285='Auto Responses'!$J$5),'Auto Responses'!$J$5,$O285*$L285)</f>
        <v>10</v>
      </c>
      <c r="Q285" s="107">
        <f t="shared" si="32"/>
        <v>0</v>
      </c>
      <c r="R285" s="107">
        <f t="shared" si="37"/>
        <v>0</v>
      </c>
      <c r="S285" s="107">
        <f t="shared" si="33"/>
        <v>0</v>
      </c>
      <c r="T285" s="107">
        <f t="shared" si="34"/>
        <v>0</v>
      </c>
      <c r="U285" s="107">
        <f t="shared" si="38"/>
        <v>69</v>
      </c>
      <c r="V285" s="107">
        <f t="shared" si="35"/>
        <v>0</v>
      </c>
    </row>
    <row r="286" spans="1:22" ht="55.2" x14ac:dyDescent="0.3">
      <c r="A286" s="4" t="str">
        <f>Questions!$A286</f>
        <v>DRPV-07</v>
      </c>
      <c r="B286" s="4" t="str">
        <f t="shared" si="36"/>
        <v>DRPV</v>
      </c>
      <c r="C286" s="4" t="str">
        <f>VLOOKUP($A286,Questions!$A$3:$L$333,2,0)&amp;""</f>
        <v>Do you provide individuals with access to their personal information for review and update (i.e., data subject rights)?</v>
      </c>
      <c r="D286" s="4" t="str">
        <f>VLOOKUP($A286,Questions!$A$3:$L$333,11,0)&amp;""</f>
        <v/>
      </c>
      <c r="E286" s="4" t="str">
        <f>VLOOKUP($A286,Questions!$A$3:$L$333,12,0)&amp;""</f>
        <v>Privacy</v>
      </c>
      <c r="F286" s="4" t="str">
        <f>VLOOKUP($A286,'Privacy Analyst Evaluation'!$A$46:$K$120,3,0)&amp;""</f>
        <v>Yes</v>
      </c>
      <c r="G286" s="4" t="str">
        <f>VLOOKUP($A286,'Privacy Analyst Evaluation'!$A$46:$K$120,7,0)&amp;""</f>
        <v>Yes</v>
      </c>
      <c r="H286" s="4" t="str">
        <f>VLOOKUP($A286,'Privacy Analyst Evaluation'!$A$46:$K$120,8,0)&amp;""</f>
        <v/>
      </c>
      <c r="I286" s="4" t="str">
        <f>VLOOKUP($A286,'Privacy Analyst Evaluation'!$A$46:$K$120,9,0)&amp;""</f>
        <v>Standard Importance</v>
      </c>
      <c r="J286" s="4" t="str">
        <f>VLOOKUP($A286,'Privacy Analyst Evaluation'!$A$46:$K$120,10,0)&amp;""</f>
        <v/>
      </c>
      <c r="K286" s="4">
        <f>IF($I286='Auto Responses'!$J$11,20,IF($I286='Auto Responses'!$J$13,5,10))</f>
        <v>10</v>
      </c>
      <c r="L286" s="107">
        <f>IF($E286='Auto Responses'!$L$13, 'Auto Responses'!$J$5,IF(AND($D286='Auto Responses'!$J$27,$H286=""),'Auto Responses'!$J$5,IF(AND($D286='Auto Responses'!$J$27,$H286='Auto Responses'!$J$7),1,IF(AND($D286='Auto Responses'!$J$27,$H286='Auto Responses'!$J$8),0,IF(OR(AND($F286=$G286,$H286=""),$H286='Auto Responses'!$J$7),1,0)))))</f>
        <v>1</v>
      </c>
      <c r="M286" s="4" t="str">
        <f>VLOOKUP($A286,'Privacy Analyst Evaluation'!$A$46:$K$120,11,0)&amp;""</f>
        <v>FALSE</v>
      </c>
      <c r="N286" s="4">
        <f>IF($J286='Auto Responses'!$J$11,1,IF(AND($J286="",$I286='Auto Responses'!$J$11),1,0))</f>
        <v>0</v>
      </c>
      <c r="O286" s="107">
        <f>IF(OR($E286='Auto Responses'!$L$13,$F$24='Auto Responses'!$J$4,$F286='Auto Responses'!$J$5),'Auto Responses'!$J$5,IF($J286="",$K286,IF($J286='Auto Responses'!$J$13,5,IF($J286='Auto Responses'!$J$12,10,IF($J286='Auto Responses'!$J$11,20,0)))))</f>
        <v>10</v>
      </c>
      <c r="P286" s="107">
        <f>IF(OR($O286='Auto Responses'!$J$5,$L286='Auto Responses'!$J$5),'Auto Responses'!$J$5,$O286*$L286)</f>
        <v>10</v>
      </c>
      <c r="Q286" s="107">
        <f t="shared" si="32"/>
        <v>0</v>
      </c>
      <c r="R286" s="107">
        <f t="shared" si="37"/>
        <v>0</v>
      </c>
      <c r="S286" s="107">
        <f t="shared" si="33"/>
        <v>0</v>
      </c>
      <c r="T286" s="107">
        <f t="shared" si="34"/>
        <v>0</v>
      </c>
      <c r="U286" s="107">
        <f t="shared" si="38"/>
        <v>69</v>
      </c>
      <c r="V286" s="107">
        <f t="shared" si="35"/>
        <v>0</v>
      </c>
    </row>
    <row r="287" spans="1:22" ht="55.2" x14ac:dyDescent="0.3">
      <c r="A287" s="4" t="str">
        <f>Questions!$A287</f>
        <v>DRPV-08</v>
      </c>
      <c r="B287" s="4" t="str">
        <f t="shared" si="36"/>
        <v>DRPV</v>
      </c>
      <c r="C287" s="4" t="str">
        <f>VLOOKUP($A287,Questions!$A$3:$L$333,2,0)&amp;""</f>
        <v>Do you disclose personal information to third parties only for the purpose(s) identified in the privacy notice or with the implicit or explicit consent of the individual?</v>
      </c>
      <c r="D287" s="4" t="str">
        <f>VLOOKUP($A287,Questions!$A$3:$L$333,11,0)&amp;""</f>
        <v/>
      </c>
      <c r="E287" s="4" t="str">
        <f>VLOOKUP($A287,Questions!$A$3:$L$333,12,0)&amp;""</f>
        <v>Privacy</v>
      </c>
      <c r="F287" s="4" t="str">
        <f>VLOOKUP($A287,'Privacy Analyst Evaluation'!$A$46:$K$120,3,0)&amp;""</f>
        <v>Yes</v>
      </c>
      <c r="G287" s="4" t="str">
        <f>VLOOKUP($A287,'Privacy Analyst Evaluation'!$A$46:$K$120,7,0)&amp;""</f>
        <v>Yes</v>
      </c>
      <c r="H287" s="4" t="str">
        <f>VLOOKUP($A287,'Privacy Analyst Evaluation'!$A$46:$K$120,8,0)&amp;""</f>
        <v/>
      </c>
      <c r="I287" s="4" t="str">
        <f>VLOOKUP($A287,'Privacy Analyst Evaluation'!$A$46:$K$120,9,0)&amp;""</f>
        <v>Standard Importance</v>
      </c>
      <c r="J287" s="4" t="str">
        <f>VLOOKUP($A287,'Privacy Analyst Evaluation'!$A$46:$K$120,10,0)&amp;""</f>
        <v/>
      </c>
      <c r="K287" s="4">
        <f>IF($I287='Auto Responses'!$J$11,20,IF($I287='Auto Responses'!$J$13,5,10))</f>
        <v>10</v>
      </c>
      <c r="L287" s="107">
        <f>IF($E287='Auto Responses'!$L$13, 'Auto Responses'!$J$5,IF(AND($D287='Auto Responses'!$J$27,$H287=""),'Auto Responses'!$J$5,IF(AND($D287='Auto Responses'!$J$27,$H287='Auto Responses'!$J$7),1,IF(AND($D287='Auto Responses'!$J$27,$H287='Auto Responses'!$J$8),0,IF(OR(AND($F287=$G287,$H287=""),$H287='Auto Responses'!$J$7),1,0)))))</f>
        <v>1</v>
      </c>
      <c r="M287" s="4" t="str">
        <f>VLOOKUP($A287,'Privacy Analyst Evaluation'!$A$46:$K$120,11,0)&amp;""</f>
        <v>FALSE</v>
      </c>
      <c r="N287" s="4">
        <f>IF($J287='Auto Responses'!$J$11,1,IF(AND($J287="",$I287='Auto Responses'!$J$11),1,0))</f>
        <v>0</v>
      </c>
      <c r="O287" s="107">
        <f>IF(OR($E287='Auto Responses'!$L$13,$F$24='Auto Responses'!$J$4,$F287='Auto Responses'!$J$5),'Auto Responses'!$J$5,IF($J287="",$K287,IF($J287='Auto Responses'!$J$13,5,IF($J287='Auto Responses'!$J$12,10,IF($J287='Auto Responses'!$J$11,20,0)))))</f>
        <v>10</v>
      </c>
      <c r="P287" s="107">
        <f>IF(OR($O287='Auto Responses'!$J$5,$L287='Auto Responses'!$J$5),'Auto Responses'!$J$5,$O287*$L287)</f>
        <v>10</v>
      </c>
      <c r="Q287" s="107">
        <f t="shared" si="32"/>
        <v>0</v>
      </c>
      <c r="R287" s="107">
        <f t="shared" si="37"/>
        <v>0</v>
      </c>
      <c r="S287" s="107">
        <f t="shared" si="33"/>
        <v>0</v>
      </c>
      <c r="T287" s="107">
        <f t="shared" si="34"/>
        <v>0</v>
      </c>
      <c r="U287" s="107">
        <f t="shared" si="38"/>
        <v>69</v>
      </c>
      <c r="V287" s="107">
        <f t="shared" si="35"/>
        <v>0</v>
      </c>
    </row>
    <row r="288" spans="1:22" ht="55.2" x14ac:dyDescent="0.3">
      <c r="A288" s="4" t="str">
        <f>Questions!$A288</f>
        <v>DRPV-09</v>
      </c>
      <c r="B288" s="4" t="str">
        <f t="shared" si="36"/>
        <v>DRPV</v>
      </c>
      <c r="C288" s="4" t="str">
        <f>VLOOKUP($A288,Questions!$A$3:$L$333,2,0)&amp;""</f>
        <v>Do you protect personal information against unauthorized access (both physical and logical)?</v>
      </c>
      <c r="D288" s="4" t="str">
        <f>VLOOKUP($A288,Questions!$A$3:$L$333,11,0)&amp;""</f>
        <v/>
      </c>
      <c r="E288" s="4" t="str">
        <f>VLOOKUP($A288,Questions!$A$3:$L$333,12,0)&amp;""</f>
        <v>Privacy</v>
      </c>
      <c r="F288" s="4" t="str">
        <f>VLOOKUP($A288,'Privacy Analyst Evaluation'!$A$46:$K$120,3,0)&amp;""</f>
        <v>Yes</v>
      </c>
      <c r="G288" s="4" t="str">
        <f>VLOOKUP($A288,'Privacy Analyst Evaluation'!$A$46:$K$120,7,0)&amp;""</f>
        <v>Yes</v>
      </c>
      <c r="H288" s="4" t="str">
        <f>VLOOKUP($A288,'Privacy Analyst Evaluation'!$A$46:$K$120,8,0)&amp;""</f>
        <v/>
      </c>
      <c r="I288" s="4" t="str">
        <f>VLOOKUP($A288,'Privacy Analyst Evaluation'!$A$46:$K$120,9,0)&amp;""</f>
        <v>Standard Importance</v>
      </c>
      <c r="J288" s="4" t="str">
        <f>VLOOKUP($A288,'Privacy Analyst Evaluation'!$A$46:$K$120,10,0)&amp;""</f>
        <v/>
      </c>
      <c r="K288" s="4">
        <f>IF($I288='Auto Responses'!$J$11,20,IF($I288='Auto Responses'!$J$13,5,10))</f>
        <v>10</v>
      </c>
      <c r="L288" s="107">
        <f>IF($E288='Auto Responses'!$L$13, 'Auto Responses'!$J$5,IF(AND($D288='Auto Responses'!$J$27,$H288=""),'Auto Responses'!$J$5,IF(AND($D288='Auto Responses'!$J$27,$H288='Auto Responses'!$J$7),1,IF(AND($D288='Auto Responses'!$J$27,$H288='Auto Responses'!$J$8),0,IF(OR(AND($F288=$G288,$H288=""),$H288='Auto Responses'!$J$7),1,0)))))</f>
        <v>1</v>
      </c>
      <c r="M288" s="4" t="str">
        <f>VLOOKUP($A288,'Privacy Analyst Evaluation'!$A$46:$K$120,11,0)&amp;""</f>
        <v>FALSE</v>
      </c>
      <c r="N288" s="4">
        <f>IF($J288='Auto Responses'!$J$11,1,IF(AND($J288="",$I288='Auto Responses'!$J$11),1,0))</f>
        <v>0</v>
      </c>
      <c r="O288" s="107">
        <f>IF(OR($E288='Auto Responses'!$L$13,$F$24='Auto Responses'!$J$4,$F288='Auto Responses'!$J$5),'Auto Responses'!$J$5,IF($J288="",$K288,IF($J288='Auto Responses'!$J$13,5,IF($J288='Auto Responses'!$J$12,10,IF($J288='Auto Responses'!$J$11,20,0)))))</f>
        <v>10</v>
      </c>
      <c r="P288" s="107">
        <f>IF(OR($O288='Auto Responses'!$J$5,$L288='Auto Responses'!$J$5),'Auto Responses'!$J$5,$O288*$L288)</f>
        <v>10</v>
      </c>
      <c r="Q288" s="107">
        <f t="shared" si="32"/>
        <v>0</v>
      </c>
      <c r="R288" s="107">
        <f t="shared" si="37"/>
        <v>0</v>
      </c>
      <c r="S288" s="107">
        <f t="shared" si="33"/>
        <v>0</v>
      </c>
      <c r="T288" s="107">
        <f t="shared" si="34"/>
        <v>0</v>
      </c>
      <c r="U288" s="107">
        <f t="shared" si="38"/>
        <v>69</v>
      </c>
      <c r="V288" s="107">
        <f t="shared" si="35"/>
        <v>0</v>
      </c>
    </row>
    <row r="289" spans="1:22" ht="55.2" x14ac:dyDescent="0.3">
      <c r="A289" s="4" t="str">
        <f>Questions!$A289</f>
        <v>DRPV-10</v>
      </c>
      <c r="B289" s="4" t="str">
        <f t="shared" si="36"/>
        <v>DRPV</v>
      </c>
      <c r="C289" s="4" t="str">
        <f>VLOOKUP($A289,Questions!$A$3:$L$333,2,0)&amp;""</f>
        <v>Do you maintain accurate, complete, and relevant personal information for the purposes identified in the privacy notice?</v>
      </c>
      <c r="D289" s="4" t="str">
        <f>VLOOKUP($A289,Questions!$A$3:$L$333,11,0)&amp;""</f>
        <v/>
      </c>
      <c r="E289" s="4" t="str">
        <f>VLOOKUP($A289,Questions!$A$3:$L$333,12,0)&amp;""</f>
        <v>Privacy</v>
      </c>
      <c r="F289" s="4" t="str">
        <f>VLOOKUP($A289,'Privacy Analyst Evaluation'!$A$46:$K$120,3,0)&amp;""</f>
        <v>Yes</v>
      </c>
      <c r="G289" s="4" t="str">
        <f>VLOOKUP($A289,'Privacy Analyst Evaluation'!$A$46:$K$120,7,0)&amp;""</f>
        <v>Yes</v>
      </c>
      <c r="H289" s="4" t="str">
        <f>VLOOKUP($A289,'Privacy Analyst Evaluation'!$A$46:$K$120,8,0)&amp;""</f>
        <v/>
      </c>
      <c r="I289" s="4" t="str">
        <f>VLOOKUP($A289,'Privacy Analyst Evaluation'!$A$46:$K$120,9,0)&amp;""</f>
        <v>Standard Importance</v>
      </c>
      <c r="J289" s="4" t="str">
        <f>VLOOKUP($A289,'Privacy Analyst Evaluation'!$A$46:$K$120,10,0)&amp;""</f>
        <v/>
      </c>
      <c r="K289" s="4">
        <f>IF($I289='Auto Responses'!$J$11,20,IF($I289='Auto Responses'!$J$13,5,10))</f>
        <v>10</v>
      </c>
      <c r="L289" s="107">
        <f>IF($E289='Auto Responses'!$L$13, 'Auto Responses'!$J$5,IF(AND($D289='Auto Responses'!$J$27,$H289=""),'Auto Responses'!$J$5,IF(AND($D289='Auto Responses'!$J$27,$H289='Auto Responses'!$J$7),1,IF(AND($D289='Auto Responses'!$J$27,$H289='Auto Responses'!$J$8),0,IF(OR(AND($F289=$G289,$H289=""),$H289='Auto Responses'!$J$7),1,0)))))</f>
        <v>1</v>
      </c>
      <c r="M289" s="4" t="str">
        <f>VLOOKUP($A289,'Privacy Analyst Evaluation'!$A$46:$K$120,11,0)&amp;""</f>
        <v>FALSE</v>
      </c>
      <c r="N289" s="4">
        <f>IF($J289='Auto Responses'!$J$11,1,IF(AND($J289="",$I289='Auto Responses'!$J$11),1,0))</f>
        <v>0</v>
      </c>
      <c r="O289" s="107">
        <f>IF(OR($E289='Auto Responses'!$L$13,$F$24='Auto Responses'!$J$4,$F289='Auto Responses'!$J$5),'Auto Responses'!$J$5,IF($J289="",$K289,IF($J289='Auto Responses'!$J$13,5,IF($J289='Auto Responses'!$J$12,10,IF($J289='Auto Responses'!$J$11,20,0)))))</f>
        <v>10</v>
      </c>
      <c r="P289" s="107">
        <f>IF(OR($O289='Auto Responses'!$J$5,$L289='Auto Responses'!$J$5),'Auto Responses'!$J$5,$O289*$L289)</f>
        <v>10</v>
      </c>
      <c r="Q289" s="107">
        <f t="shared" si="32"/>
        <v>0</v>
      </c>
      <c r="R289" s="107">
        <f t="shared" si="37"/>
        <v>0</v>
      </c>
      <c r="S289" s="107">
        <f t="shared" si="33"/>
        <v>0</v>
      </c>
      <c r="T289" s="107">
        <f t="shared" si="34"/>
        <v>0</v>
      </c>
      <c r="U289" s="107">
        <f t="shared" si="38"/>
        <v>69</v>
      </c>
      <c r="V289" s="107">
        <f t="shared" si="35"/>
        <v>0</v>
      </c>
    </row>
    <row r="290" spans="1:22" ht="55.2" x14ac:dyDescent="0.3">
      <c r="A290" s="4" t="str">
        <f>Questions!$A290</f>
        <v>DRPV-11</v>
      </c>
      <c r="B290" s="4" t="str">
        <f t="shared" si="36"/>
        <v>DRPV</v>
      </c>
      <c r="C290" s="4" t="str">
        <f>VLOOKUP($A290,Questions!$A$3:$L$333,2,0)&amp;""</f>
        <v>Do you have procedures to address privacy-related noncompliance complaints and disputes?</v>
      </c>
      <c r="D290" s="4" t="str">
        <f>VLOOKUP($A290,Questions!$A$3:$L$333,11,0)&amp;""</f>
        <v/>
      </c>
      <c r="E290" s="4" t="str">
        <f>VLOOKUP($A290,Questions!$A$3:$L$333,12,0)&amp;""</f>
        <v>Privacy</v>
      </c>
      <c r="F290" s="4" t="str">
        <f>VLOOKUP($A290,'Privacy Analyst Evaluation'!$A$46:$K$120,3,0)&amp;""</f>
        <v>Yes</v>
      </c>
      <c r="G290" s="4" t="str">
        <f>VLOOKUP($A290,'Privacy Analyst Evaluation'!$A$46:$K$120,7,0)&amp;""</f>
        <v>Yes</v>
      </c>
      <c r="H290" s="4" t="str">
        <f>VLOOKUP($A290,'Privacy Analyst Evaluation'!$A$46:$K$120,8,0)&amp;""</f>
        <v/>
      </c>
      <c r="I290" s="4" t="str">
        <f>VLOOKUP($A290,'Privacy Analyst Evaluation'!$A$46:$K$120,9,0)&amp;""</f>
        <v>Standard Importance</v>
      </c>
      <c r="J290" s="4" t="str">
        <f>VLOOKUP($A290,'Privacy Analyst Evaluation'!$A$46:$K$120,10,0)&amp;""</f>
        <v/>
      </c>
      <c r="K290" s="4">
        <f>IF($I290='Auto Responses'!$J$11,20,IF($I290='Auto Responses'!$J$13,5,10))</f>
        <v>10</v>
      </c>
      <c r="L290" s="107">
        <f>IF($E290='Auto Responses'!$L$13, 'Auto Responses'!$J$5,IF(AND($D290='Auto Responses'!$J$27,$H290=""),'Auto Responses'!$J$5,IF(AND($D290='Auto Responses'!$J$27,$H290='Auto Responses'!$J$7),1,IF(AND($D290='Auto Responses'!$J$27,$H290='Auto Responses'!$J$8),0,IF(OR(AND($F290=$G290,$H290=""),$H290='Auto Responses'!$J$7),1,0)))))</f>
        <v>1</v>
      </c>
      <c r="M290" s="4" t="str">
        <f>VLOOKUP($A290,'Privacy Analyst Evaluation'!$A$46:$K$120,11,0)&amp;""</f>
        <v>FALSE</v>
      </c>
      <c r="N290" s="4">
        <f>IF($J290='Auto Responses'!$J$11,1,IF(AND($J290="",$I290='Auto Responses'!$J$11),1,0))</f>
        <v>0</v>
      </c>
      <c r="O290" s="107">
        <f>IF(OR($E290='Auto Responses'!$L$13,$F$24='Auto Responses'!$J$4,$F290='Auto Responses'!$J$5),'Auto Responses'!$J$5,IF($J290="",$K290,IF($J290='Auto Responses'!$J$13,5,IF($J290='Auto Responses'!$J$12,10,IF($J290='Auto Responses'!$J$11,20,0)))))</f>
        <v>10</v>
      </c>
      <c r="P290" s="107">
        <f>IF(OR($O290='Auto Responses'!$J$5,$L290='Auto Responses'!$J$5),'Auto Responses'!$J$5,$O290*$L290)</f>
        <v>10</v>
      </c>
      <c r="Q290" s="107">
        <f t="shared" si="32"/>
        <v>0</v>
      </c>
      <c r="R290" s="107">
        <f t="shared" si="37"/>
        <v>0</v>
      </c>
      <c r="S290" s="107">
        <f t="shared" si="33"/>
        <v>0</v>
      </c>
      <c r="T290" s="107">
        <f t="shared" si="34"/>
        <v>0</v>
      </c>
      <c r="U290" s="107">
        <f t="shared" si="38"/>
        <v>69</v>
      </c>
      <c r="V290" s="107">
        <f t="shared" si="35"/>
        <v>0</v>
      </c>
    </row>
    <row r="291" spans="1:22" ht="55.2" x14ac:dyDescent="0.3">
      <c r="A291" s="4" t="str">
        <f>Questions!$A291</f>
        <v>DRPV-12</v>
      </c>
      <c r="B291" s="4" t="str">
        <f t="shared" si="36"/>
        <v>DRPV</v>
      </c>
      <c r="C291" s="4" t="str">
        <f>VLOOKUP($A291,Questions!$A$3:$L$333,2,0)&amp;""</f>
        <v>Do you "anonymize," "de-identify," or otherwise mask personal data?</v>
      </c>
      <c r="D291" s="4" t="str">
        <f>VLOOKUP($A291,Questions!$A$3:$L$333,11,0)&amp;""</f>
        <v/>
      </c>
      <c r="E291" s="4" t="str">
        <f>VLOOKUP($A291,Questions!$A$3:$L$333,12,0)&amp;""</f>
        <v>Privacy</v>
      </c>
      <c r="F291" s="4" t="str">
        <f>VLOOKUP($A291,'Privacy Analyst Evaluation'!$A$46:$K$120,3,0)&amp;""</f>
        <v>Yes</v>
      </c>
      <c r="G291" s="4" t="str">
        <f>VLOOKUP($A291,'Privacy Analyst Evaluation'!$A$46:$K$120,7,0)&amp;""</f>
        <v>Yes</v>
      </c>
      <c r="H291" s="4" t="str">
        <f>VLOOKUP($A291,'Privacy Analyst Evaluation'!$A$46:$K$120,8,0)&amp;""</f>
        <v/>
      </c>
      <c r="I291" s="4" t="str">
        <f>VLOOKUP($A291,'Privacy Analyst Evaluation'!$A$46:$K$120,9,0)&amp;""</f>
        <v>Standard Importance</v>
      </c>
      <c r="J291" s="4" t="str">
        <f>VLOOKUP($A291,'Privacy Analyst Evaluation'!$A$46:$K$120,10,0)&amp;""</f>
        <v/>
      </c>
      <c r="K291" s="4">
        <f>IF($I291='Auto Responses'!$J$11,20,IF($I291='Auto Responses'!$J$13,5,10))</f>
        <v>10</v>
      </c>
      <c r="L291" s="107">
        <f>IF($E291='Auto Responses'!$L$13, 'Auto Responses'!$J$5,IF(AND($D291='Auto Responses'!$J$27,$H291=""),'Auto Responses'!$J$5,IF(AND($D291='Auto Responses'!$J$27,$H291='Auto Responses'!$J$7),1,IF(AND($D291='Auto Responses'!$J$27,$H291='Auto Responses'!$J$8),0,IF(OR(AND($F291=$G291,$H291=""),$H291='Auto Responses'!$J$7),1,0)))))</f>
        <v>1</v>
      </c>
      <c r="M291" s="4" t="str">
        <f>VLOOKUP($A291,'Privacy Analyst Evaluation'!$A$46:$K$120,11,0)&amp;""</f>
        <v>FALSE</v>
      </c>
      <c r="N291" s="4">
        <f>IF($J291='Auto Responses'!$J$11,1,IF(AND($J291="",$I291='Auto Responses'!$J$11),1,0))</f>
        <v>0</v>
      </c>
      <c r="O291" s="107">
        <f>IF(OR($E291='Auto Responses'!$L$13,$F$24='Auto Responses'!$J$4,$F291='Auto Responses'!$J$5),'Auto Responses'!$J$5,IF($J291="",$K291,IF($J291='Auto Responses'!$J$13,5,IF($J291='Auto Responses'!$J$12,10,IF($J291='Auto Responses'!$J$11,20,0)))))</f>
        <v>10</v>
      </c>
      <c r="P291" s="107">
        <f>IF(OR($O291='Auto Responses'!$J$5,$L291='Auto Responses'!$J$5),'Auto Responses'!$J$5,$O291*$L291)</f>
        <v>10</v>
      </c>
      <c r="Q291" s="107">
        <f t="shared" si="32"/>
        <v>0</v>
      </c>
      <c r="R291" s="107">
        <f t="shared" si="37"/>
        <v>0</v>
      </c>
      <c r="S291" s="107">
        <f t="shared" si="33"/>
        <v>0</v>
      </c>
      <c r="T291" s="107">
        <f t="shared" si="34"/>
        <v>0</v>
      </c>
      <c r="U291" s="107">
        <f t="shared" si="38"/>
        <v>69</v>
      </c>
      <c r="V291" s="107">
        <f t="shared" si="35"/>
        <v>0</v>
      </c>
    </row>
    <row r="292" spans="1:22" ht="96.6" x14ac:dyDescent="0.3">
      <c r="A292" s="4" t="str">
        <f>Questions!$A292</f>
        <v>DRPV-13</v>
      </c>
      <c r="B292" s="4" t="str">
        <f t="shared" si="36"/>
        <v>DRPV</v>
      </c>
      <c r="C292" s="4" t="str">
        <f>VLOOKUP($A292,Questions!$A$3:$L$333,2,0)&amp;""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D292" s="4" t="str">
        <f>VLOOKUP($A292,Questions!$A$3:$L$333,11,0)&amp;""</f>
        <v/>
      </c>
      <c r="E292" s="4" t="str">
        <f>VLOOKUP($A292,Questions!$A$3:$L$333,12,0)&amp;""</f>
        <v>Privacy</v>
      </c>
      <c r="F292" s="4" t="str">
        <f>VLOOKUP($A292,'Privacy Analyst Evaluation'!$A$46:$K$120,3,0)&amp;""</f>
        <v>No</v>
      </c>
      <c r="G292" s="4" t="str">
        <f>VLOOKUP($A292,'Privacy Analyst Evaluation'!$A$46:$K$120,7,0)&amp;""</f>
        <v>No</v>
      </c>
      <c r="H292" s="4" t="str">
        <f>VLOOKUP($A292,'Privacy Analyst Evaluation'!$A$46:$K$120,8,0)&amp;""</f>
        <v/>
      </c>
      <c r="I292" s="4" t="str">
        <f>VLOOKUP($A292,'Privacy Analyst Evaluation'!$A$46:$K$120,9,0)&amp;""</f>
        <v>Standard Importance</v>
      </c>
      <c r="J292" s="4" t="str">
        <f>VLOOKUP($A292,'Privacy Analyst Evaluation'!$A$46:$K$120,10,0)&amp;""</f>
        <v/>
      </c>
      <c r="K292" s="4">
        <f>IF($I292='Auto Responses'!$J$11,20,IF($I292='Auto Responses'!$J$13,5,10))</f>
        <v>10</v>
      </c>
      <c r="L292" s="107">
        <f>IF($E292='Auto Responses'!$L$13, 'Auto Responses'!$J$5,IF(AND($D292='Auto Responses'!$J$27,$H292=""),'Auto Responses'!$J$5,IF(AND($D292='Auto Responses'!$J$27,$H292='Auto Responses'!$J$7),1,IF(AND($D292='Auto Responses'!$J$27,$H292='Auto Responses'!$J$8),0,IF(OR(AND($F292=$G292,$H292=""),$H292='Auto Responses'!$J$7),1,0)))))</f>
        <v>1</v>
      </c>
      <c r="M292" s="4" t="str">
        <f>VLOOKUP($A292,'Privacy Analyst Evaluation'!$A$46:$K$120,11,0)&amp;""</f>
        <v>FALSE</v>
      </c>
      <c r="N292" s="4">
        <f>IF($J292='Auto Responses'!$J$11,1,IF(AND($J292="",$I292='Auto Responses'!$J$11),1,0))</f>
        <v>0</v>
      </c>
      <c r="O292" s="107">
        <f>IF(OR($E292='Auto Responses'!$L$13,$F$24='Auto Responses'!$J$4,$F292='Auto Responses'!$J$5),'Auto Responses'!$J$5,IF($J292="",$K292,IF($J292='Auto Responses'!$J$13,5,IF($J292='Auto Responses'!$J$12,10,IF($J292='Auto Responses'!$J$11,20,0)))))</f>
        <v>10</v>
      </c>
      <c r="P292" s="107">
        <f>IF(OR($O292='Auto Responses'!$J$5,$L292='Auto Responses'!$J$5),'Auto Responses'!$J$5,$O292*$L292)</f>
        <v>10</v>
      </c>
      <c r="Q292" s="107">
        <f t="shared" si="32"/>
        <v>0</v>
      </c>
      <c r="R292" s="107">
        <f t="shared" si="37"/>
        <v>0</v>
      </c>
      <c r="S292" s="107">
        <f t="shared" si="33"/>
        <v>0</v>
      </c>
      <c r="T292" s="107">
        <f t="shared" si="34"/>
        <v>0</v>
      </c>
      <c r="U292" s="107">
        <f t="shared" si="38"/>
        <v>69</v>
      </c>
      <c r="V292" s="107">
        <f t="shared" si="35"/>
        <v>0</v>
      </c>
    </row>
    <row r="293" spans="1:22" ht="55.2" x14ac:dyDescent="0.3">
      <c r="A293" s="4" t="str">
        <f>Questions!$A293</f>
        <v>DRPV-14</v>
      </c>
      <c r="B293" s="4" t="str">
        <f t="shared" si="36"/>
        <v>DRPV</v>
      </c>
      <c r="C293" s="4" t="str">
        <f>VLOOKUP($A293,Questions!$A$3:$L$333,2,0)&amp;""</f>
        <v>Do you certify stop-processing requests, including any data that is processed by a third party on your behalf?</v>
      </c>
      <c r="D293" s="4" t="str">
        <f>VLOOKUP($A293,Questions!$A$3:$L$333,11,0)&amp;""</f>
        <v/>
      </c>
      <c r="E293" s="4" t="str">
        <f>VLOOKUP($A293,Questions!$A$3:$L$333,12,0)&amp;""</f>
        <v>Privacy</v>
      </c>
      <c r="F293" s="4" t="str">
        <f>VLOOKUP($A293,'Privacy Analyst Evaluation'!$A$46:$K$120,3,0)&amp;""</f>
        <v>Yes</v>
      </c>
      <c r="G293" s="4" t="str">
        <f>VLOOKUP($A293,'Privacy Analyst Evaluation'!$A$46:$K$120,7,0)&amp;""</f>
        <v>Yes</v>
      </c>
      <c r="H293" s="4" t="str">
        <f>VLOOKUP($A293,'Privacy Analyst Evaluation'!$A$46:$K$120,8,0)&amp;""</f>
        <v/>
      </c>
      <c r="I293" s="4" t="str">
        <f>VLOOKUP($A293,'Privacy Analyst Evaluation'!$A$46:$K$120,9,0)&amp;""</f>
        <v>Standard Importance</v>
      </c>
      <c r="J293" s="4" t="str">
        <f>VLOOKUP($A293,'Privacy Analyst Evaluation'!$A$46:$K$120,10,0)&amp;""</f>
        <v/>
      </c>
      <c r="K293" s="4">
        <f>IF($I293='Auto Responses'!$J$11,20,IF($I293='Auto Responses'!$J$13,5,10))</f>
        <v>10</v>
      </c>
      <c r="L293" s="107">
        <f>IF($E293='Auto Responses'!$L$13, 'Auto Responses'!$J$5,IF(AND($D293='Auto Responses'!$J$27,$H293=""),'Auto Responses'!$J$5,IF(AND($D293='Auto Responses'!$J$27,$H293='Auto Responses'!$J$7),1,IF(AND($D293='Auto Responses'!$J$27,$H293='Auto Responses'!$J$8),0,IF(OR(AND($F293=$G293,$H293=""),$H293='Auto Responses'!$J$7),1,0)))))</f>
        <v>1</v>
      </c>
      <c r="M293" s="4" t="str">
        <f>VLOOKUP($A293,'Privacy Analyst Evaluation'!$A$46:$K$120,11,0)&amp;""</f>
        <v>FALSE</v>
      </c>
      <c r="N293" s="4">
        <f>IF($J293='Auto Responses'!$J$11,1,IF(AND($J293="",$I293='Auto Responses'!$J$11),1,0))</f>
        <v>0</v>
      </c>
      <c r="O293" s="107">
        <f>IF(OR($E293='Auto Responses'!$L$13,$F$24='Auto Responses'!$J$4,$F293='Auto Responses'!$J$5),'Auto Responses'!$J$5,IF($J293="",$K293,IF($J293='Auto Responses'!$J$13,5,IF($J293='Auto Responses'!$J$12,10,IF($J293='Auto Responses'!$J$11,20,0)))))</f>
        <v>10</v>
      </c>
      <c r="P293" s="107">
        <f>IF(OR($O293='Auto Responses'!$J$5,$L293='Auto Responses'!$J$5),'Auto Responses'!$J$5,$O293*$L293)</f>
        <v>10</v>
      </c>
      <c r="Q293" s="107">
        <f t="shared" si="32"/>
        <v>0</v>
      </c>
      <c r="R293" s="107">
        <f t="shared" si="37"/>
        <v>0</v>
      </c>
      <c r="S293" s="107">
        <f t="shared" si="33"/>
        <v>0</v>
      </c>
      <c r="T293" s="107">
        <f t="shared" si="34"/>
        <v>0</v>
      </c>
      <c r="U293" s="107">
        <f t="shared" si="38"/>
        <v>69</v>
      </c>
      <c r="V293" s="107">
        <f t="shared" si="35"/>
        <v>0</v>
      </c>
    </row>
    <row r="294" spans="1:22" ht="55.2" x14ac:dyDescent="0.3">
      <c r="A294" s="4" t="str">
        <f>Questions!$A294</f>
        <v>DRPV-15</v>
      </c>
      <c r="B294" s="4" t="str">
        <f t="shared" si="36"/>
        <v>DRPV</v>
      </c>
      <c r="C294" s="4" t="str">
        <f>VLOOKUP($A294,Questions!$A$3:$L$333,2,0)&amp;""</f>
        <v>Do you have a process to review code for ethical considerations?</v>
      </c>
      <c r="D294" s="4" t="str">
        <f>VLOOKUP($A294,Questions!$A$3:$L$333,11,0)&amp;""</f>
        <v/>
      </c>
      <c r="E294" s="4" t="str">
        <f>VLOOKUP($A294,Questions!$A$3:$L$333,12,0)&amp;""</f>
        <v>Privacy</v>
      </c>
      <c r="F294" s="4" t="str">
        <f>VLOOKUP($A294,'Privacy Analyst Evaluation'!$A$46:$K$120,3,0)&amp;""</f>
        <v>No</v>
      </c>
      <c r="G294" s="4" t="str">
        <f>VLOOKUP($A294,'Privacy Analyst Evaluation'!$A$46:$K$120,7,0)&amp;""</f>
        <v>Yes</v>
      </c>
      <c r="H294" s="4" t="str">
        <f>VLOOKUP($A294,'Privacy Analyst Evaluation'!$A$46:$K$120,8,0)&amp;""</f>
        <v/>
      </c>
      <c r="I294" s="4" t="str">
        <f>VLOOKUP($A294,'Privacy Analyst Evaluation'!$A$46:$K$120,9,0)&amp;""</f>
        <v>Standard Importance</v>
      </c>
      <c r="J294" s="4" t="str">
        <f>VLOOKUP($A294,'Privacy Analyst Evaluation'!$A$46:$K$120,10,0)&amp;""</f>
        <v/>
      </c>
      <c r="K294" s="4">
        <f>IF($I294='Auto Responses'!$J$11,20,IF($I294='Auto Responses'!$J$13,5,10))</f>
        <v>10</v>
      </c>
      <c r="L294" s="107">
        <f>IF($E294='Auto Responses'!$L$13, 'Auto Responses'!$J$5,IF(AND($D294='Auto Responses'!$J$27,$H294=""),'Auto Responses'!$J$5,IF(AND($D294='Auto Responses'!$J$27,$H294='Auto Responses'!$J$7),1,IF(AND($D294='Auto Responses'!$J$27,$H294='Auto Responses'!$J$8),0,IF(OR(AND($F294=$G294,$H294=""),$H294='Auto Responses'!$J$7),1,0)))))</f>
        <v>0</v>
      </c>
      <c r="M294" s="4" t="str">
        <f>VLOOKUP($A294,'Privacy Analyst Evaluation'!$A$46:$K$120,11,0)&amp;""</f>
        <v>FALSE</v>
      </c>
      <c r="N294" s="4">
        <f>IF($J294='Auto Responses'!$J$11,1,IF(AND($J294="",$I294='Auto Responses'!$J$11),1,0))</f>
        <v>0</v>
      </c>
      <c r="O294" s="107">
        <f>IF(OR($E294='Auto Responses'!$L$13,$F$24='Auto Responses'!$J$4,$F294='Auto Responses'!$J$5),'Auto Responses'!$J$5,IF($J294="",$K294,IF($J294='Auto Responses'!$J$13,5,IF($J294='Auto Responses'!$J$12,10,IF($J294='Auto Responses'!$J$11,20,0)))))</f>
        <v>10</v>
      </c>
      <c r="P294" s="107">
        <f>IF(OR($O294='Auto Responses'!$J$5,$L294='Auto Responses'!$J$5),'Auto Responses'!$J$5,$O294*$L294)</f>
        <v>0</v>
      </c>
      <c r="Q294" s="107">
        <f t="shared" si="32"/>
        <v>0</v>
      </c>
      <c r="R294" s="107">
        <f t="shared" si="37"/>
        <v>0</v>
      </c>
      <c r="S294" s="107">
        <f t="shared" si="33"/>
        <v>0</v>
      </c>
      <c r="T294" s="107">
        <f t="shared" si="34"/>
        <v>0</v>
      </c>
      <c r="U294" s="107">
        <f t="shared" si="38"/>
        <v>69</v>
      </c>
      <c r="V294" s="107">
        <f t="shared" si="35"/>
        <v>0</v>
      </c>
    </row>
    <row r="295" spans="1:22" ht="55.2" x14ac:dyDescent="0.3">
      <c r="A295" s="4" t="str">
        <f>Questions!$A295</f>
        <v>DPAI-01</v>
      </c>
      <c r="B295" s="4" t="str">
        <f t="shared" si="36"/>
        <v>DPAI</v>
      </c>
      <c r="C295" s="4" t="str">
        <f>VLOOKUP($A295,Questions!$A$3:$L$333,2,0)&amp;""</f>
        <v>Does your service use AI for the processing of institutional data?</v>
      </c>
      <c r="D295" s="4" t="str">
        <f>VLOOKUP($A295,Questions!$A$3:$L$333,11,0)&amp;""</f>
        <v/>
      </c>
      <c r="E295" s="4" t="str">
        <f>VLOOKUP($A295,Questions!$A$3:$L$333,12,0)&amp;""</f>
        <v>Privacy</v>
      </c>
      <c r="F295" s="4" t="str">
        <f>VLOOKUP($A295,'Privacy Analyst Evaluation'!$A$46:$K$120,3,0)&amp;""</f>
        <v>Yes</v>
      </c>
      <c r="G295" s="4" t="str">
        <f>VLOOKUP($A295,'Privacy Analyst Evaluation'!$A$46:$K$120,7,0)&amp;""</f>
        <v>No</v>
      </c>
      <c r="H295" s="4" t="str">
        <f>VLOOKUP($A295,'Privacy Analyst Evaluation'!$A$46:$K$120,8,0)&amp;""</f>
        <v/>
      </c>
      <c r="I295" s="4" t="str">
        <f>VLOOKUP($A295,'Privacy Analyst Evaluation'!$A$46:$K$120,9,0)&amp;""</f>
        <v>Standard Importance</v>
      </c>
      <c r="J295" s="4" t="str">
        <f>VLOOKUP($A295,'Privacy Analyst Evaluation'!$A$46:$K$120,10,0)&amp;""</f>
        <v/>
      </c>
      <c r="K295" s="4">
        <f>IF($I295='Auto Responses'!$J$11,20,IF($I295='Auto Responses'!$J$13,5,10))</f>
        <v>10</v>
      </c>
      <c r="L295" s="107">
        <f>IF($E295='Auto Responses'!$L$13, 'Auto Responses'!$J$5,IF(AND($D295='Auto Responses'!$J$27,$H295=""),'Auto Responses'!$J$5,IF(AND($D295='Auto Responses'!$J$27,$H295='Auto Responses'!$J$7),1,IF(AND($D295='Auto Responses'!$J$27,$H295='Auto Responses'!$J$8),0,IF(OR(AND($F295=$G295,$H295=""),$H295='Auto Responses'!$J$7),1,0)))))</f>
        <v>0</v>
      </c>
      <c r="M295" s="4" t="str">
        <f>VLOOKUP($A295,'Privacy Analyst Evaluation'!$A$46:$K$120,11,0)&amp;""</f>
        <v>FALSE</v>
      </c>
      <c r="N295" s="4">
        <f>IF($J295='Auto Responses'!$J$11,1,IF(AND($J295="",$I295='Auto Responses'!$J$11),1,0))</f>
        <v>0</v>
      </c>
      <c r="O295" s="107">
        <f>IF(OR($E295='Auto Responses'!$L$13,$F295='Auto Responses'!$J$5,$F$24='Auto Responses'!$J$4),'Auto Responses'!$J$5,IF($J295="",$K295,IF($J295='Auto Responses'!$J$13,5,IF($J295='Auto Responses'!$J$12,10,IF($J295='Auto Responses'!$J$11,20,0)))))</f>
        <v>10</v>
      </c>
      <c r="P295" s="107">
        <f>IF(OR($O295='Auto Responses'!$J$5,$L295='Auto Responses'!$J$5),'Auto Responses'!$J$5,$O295*$L295)</f>
        <v>0</v>
      </c>
      <c r="Q295" s="107">
        <f t="shared" si="32"/>
        <v>0</v>
      </c>
      <c r="R295" s="107">
        <f t="shared" si="37"/>
        <v>0</v>
      </c>
      <c r="S295" s="107">
        <f t="shared" si="33"/>
        <v>0</v>
      </c>
      <c r="T295" s="107">
        <f t="shared" si="34"/>
        <v>0</v>
      </c>
      <c r="U295" s="107">
        <f t="shared" si="38"/>
        <v>69</v>
      </c>
      <c r="V295" s="107">
        <f t="shared" si="35"/>
        <v>0</v>
      </c>
    </row>
    <row r="296" spans="1:22" ht="55.2" x14ac:dyDescent="0.3">
      <c r="A296" s="4" t="str">
        <f>Questions!$A296</f>
        <v>DPAI-02</v>
      </c>
      <c r="B296" s="4" t="str">
        <f t="shared" si="36"/>
        <v>DPAI</v>
      </c>
      <c r="C296" s="4" t="str">
        <f>VLOOKUP($A296,Questions!$A$3:$L$333,2,0)&amp;""</f>
        <v>Is any institutional data retained in AI processing?*</v>
      </c>
      <c r="D296" s="4" t="str">
        <f>VLOOKUP($A296,Questions!$A$3:$L$333,11,0)&amp;""</f>
        <v/>
      </c>
      <c r="E296" s="4" t="str">
        <f>VLOOKUP($A296,Questions!$A$3:$L$333,12,0)&amp;""</f>
        <v>Privacy</v>
      </c>
      <c r="F296" s="4" t="str">
        <f>VLOOKUP($A296,'Privacy Analyst Evaluation'!$A$46:$K$120,3,0)&amp;""</f>
        <v>Yes</v>
      </c>
      <c r="G296" s="4" t="str">
        <f>VLOOKUP($A296,'Privacy Analyst Evaluation'!$A$46:$K$120,7,0)&amp;""</f>
        <v>No</v>
      </c>
      <c r="H296" s="4" t="str">
        <f>VLOOKUP($A296,'Privacy Analyst Evaluation'!$A$46:$K$120,8,0)&amp;""</f>
        <v/>
      </c>
      <c r="I296" s="4" t="str">
        <f>VLOOKUP($A296,'Privacy Analyst Evaluation'!$A$46:$K$120,9,0)&amp;""</f>
        <v>Critical Importance</v>
      </c>
      <c r="J296" s="4" t="str">
        <f>VLOOKUP($A296,'Privacy Analyst Evaluation'!$A$46:$K$120,10,0)&amp;""</f>
        <v/>
      </c>
      <c r="K296" s="4">
        <f>IF($I296='Auto Responses'!$J$11,20,IF($I296='Auto Responses'!$J$13,5,10))</f>
        <v>20</v>
      </c>
      <c r="L296" s="107">
        <f>IF($E296='Auto Responses'!$L$13, 'Auto Responses'!$J$5,IF(AND($D296='Auto Responses'!$J$27,$H296=""),'Auto Responses'!$J$5,IF(AND($D296='Auto Responses'!$J$27,$H296='Auto Responses'!$J$7),1,IF(AND($D296='Auto Responses'!$J$27,$H296='Auto Responses'!$J$8),0,IF(OR(AND($F296=$G296,$H296=""),$H296='Auto Responses'!$J$7),1,0)))))</f>
        <v>0</v>
      </c>
      <c r="M296" s="4" t="str">
        <f>VLOOKUP($A296,'Privacy Analyst Evaluation'!$A$46:$K$120,11,0)&amp;""</f>
        <v>FALSE</v>
      </c>
      <c r="N296" s="4">
        <f>IF($J296='Auto Responses'!$J$11,1,IF(AND($J296="",$I296='Auto Responses'!$J$11),1,0))</f>
        <v>1</v>
      </c>
      <c r="O296" s="107">
        <f>IF(OR($E296='Auto Responses'!$L$13,$F296='Auto Responses'!$J$5,$F$24='Auto Responses'!$J$4),'Auto Responses'!$J$5,IF($J296="",$K296,IF($J296='Auto Responses'!$J$13,5,IF($J296='Auto Responses'!$J$12,10,IF($J296='Auto Responses'!$J$11,20,0)))))</f>
        <v>20</v>
      </c>
      <c r="P296" s="107">
        <f>IF(OR($O296='Auto Responses'!$J$5,$L296='Auto Responses'!$J$5),'Auto Responses'!$J$5,$O296*$L296)</f>
        <v>0</v>
      </c>
      <c r="Q296" s="107">
        <f t="shared" si="32"/>
        <v>0</v>
      </c>
      <c r="R296" s="107">
        <f t="shared" si="37"/>
        <v>0</v>
      </c>
      <c r="S296" s="107">
        <f t="shared" si="33"/>
        <v>0</v>
      </c>
      <c r="T296" s="107">
        <f t="shared" si="34"/>
        <v>1</v>
      </c>
      <c r="U296" s="107">
        <f t="shared" si="38"/>
        <v>70</v>
      </c>
      <c r="V296" s="107">
        <f t="shared" si="35"/>
        <v>70</v>
      </c>
    </row>
    <row r="297" spans="1:22" ht="55.2" x14ac:dyDescent="0.3">
      <c r="A297" s="4" t="str">
        <f>Questions!$A297</f>
        <v>DPAI-03</v>
      </c>
      <c r="B297" s="4" t="str">
        <f t="shared" si="36"/>
        <v>DPAI</v>
      </c>
      <c r="C297" s="4" t="str">
        <f>VLOOKUP($A297,Questions!$A$3:$L$333,2,0)&amp;""</f>
        <v>Do you have agreements in place with third parties or subprocessors regarding the protection of customer data and use of AI?*</v>
      </c>
      <c r="D297" s="4" t="str">
        <f>VLOOKUP($A297,Questions!$A$3:$L$333,11,0)&amp;""</f>
        <v/>
      </c>
      <c r="E297" s="4" t="str">
        <f>VLOOKUP($A297,Questions!$A$3:$L$333,12,0)&amp;""</f>
        <v>Privacy</v>
      </c>
      <c r="F297" s="4" t="str">
        <f>VLOOKUP($A297,'Privacy Analyst Evaluation'!$A$46:$K$120,3,0)&amp;""</f>
        <v>Yes</v>
      </c>
      <c r="G297" s="4" t="str">
        <f>VLOOKUP($A297,'Privacy Analyst Evaluation'!$A$46:$K$120,7,0)&amp;""</f>
        <v>Yes</v>
      </c>
      <c r="H297" s="4" t="str">
        <f>VLOOKUP($A297,'Privacy Analyst Evaluation'!$A$46:$K$120,8,0)&amp;""</f>
        <v/>
      </c>
      <c r="I297" s="4" t="str">
        <f>VLOOKUP($A297,'Privacy Analyst Evaluation'!$A$46:$K$120,9,0)&amp;""</f>
        <v>Critical Importance</v>
      </c>
      <c r="J297" s="4" t="str">
        <f>VLOOKUP($A297,'Privacy Analyst Evaluation'!$A$46:$K$120,10,0)&amp;""</f>
        <v/>
      </c>
      <c r="K297" s="4">
        <f>IF($I297='Auto Responses'!$J$11,20,IF($I297='Auto Responses'!$J$13,5,10))</f>
        <v>20</v>
      </c>
      <c r="L297" s="107">
        <f>IF($E297='Auto Responses'!$L$13, 'Auto Responses'!$J$5,IF(AND($D297='Auto Responses'!$J$27,$H297=""),'Auto Responses'!$J$5,IF(AND($D297='Auto Responses'!$J$27,$H297='Auto Responses'!$J$7),1,IF(AND($D297='Auto Responses'!$J$27,$H297='Auto Responses'!$J$8),0,IF(OR(AND($F297=$G297,$H297=""),$H297='Auto Responses'!$J$7),1,0)))))</f>
        <v>1</v>
      </c>
      <c r="M297" s="4" t="str">
        <f>VLOOKUP($A297,'Privacy Analyst Evaluation'!$A$46:$K$120,11,0)&amp;""</f>
        <v>FALSE</v>
      </c>
      <c r="N297" s="4">
        <f>IF($J297='Auto Responses'!$J$11,1,IF(AND($J297="",$I297='Auto Responses'!$J$11),1,0))</f>
        <v>1</v>
      </c>
      <c r="O297" s="107">
        <f>IF(OR($E297='Auto Responses'!$L$13,$F297='Auto Responses'!$J$5,$F$24='Auto Responses'!$J$4),'Auto Responses'!$J$5,IF($J297="",$K297,IF($J297='Auto Responses'!$J$13,5,IF($J297='Auto Responses'!$J$12,10,IF($J297='Auto Responses'!$J$11,20,0)))))</f>
        <v>20</v>
      </c>
      <c r="P297" s="107">
        <f>IF(OR($O297='Auto Responses'!$J$5,$L297='Auto Responses'!$J$5),'Auto Responses'!$J$5,$O297*$L297)</f>
        <v>20</v>
      </c>
      <c r="Q297" s="107">
        <f t="shared" si="32"/>
        <v>0</v>
      </c>
      <c r="R297" s="107">
        <f t="shared" si="37"/>
        <v>0</v>
      </c>
      <c r="S297" s="107">
        <f t="shared" si="33"/>
        <v>0</v>
      </c>
      <c r="T297" s="107">
        <f t="shared" si="34"/>
        <v>1</v>
      </c>
      <c r="U297" s="107">
        <f t="shared" si="38"/>
        <v>71</v>
      </c>
      <c r="V297" s="107">
        <f t="shared" si="35"/>
        <v>71</v>
      </c>
    </row>
    <row r="298" spans="1:22" ht="55.2" x14ac:dyDescent="0.3">
      <c r="A298" s="4" t="str">
        <f>Questions!$A298</f>
        <v>DPAI-04</v>
      </c>
      <c r="B298" s="4" t="str">
        <f t="shared" si="36"/>
        <v>DPAI</v>
      </c>
      <c r="C298" s="4" t="str">
        <f>VLOOKUP($A298,Questions!$A$3:$L$333,2,0)&amp;""</f>
        <v>Will institutional data be processed through a third party or subprocessor that also uses AI?</v>
      </c>
      <c r="D298" s="4" t="str">
        <f>VLOOKUP($A298,Questions!$A$3:$L$333,11,0)&amp;""</f>
        <v/>
      </c>
      <c r="E298" s="4" t="str">
        <f>VLOOKUP($A298,Questions!$A$3:$L$333,12,0)&amp;""</f>
        <v>Privacy</v>
      </c>
      <c r="F298" s="4" t="str">
        <f>VLOOKUP($A298,'Privacy Analyst Evaluation'!$A$46:$K$120,3,0)&amp;""</f>
        <v>No</v>
      </c>
      <c r="G298" s="4" t="str">
        <f>VLOOKUP($A298,'Privacy Analyst Evaluation'!$A$46:$K$120,7,0)&amp;""</f>
        <v>No</v>
      </c>
      <c r="H298" s="4" t="str">
        <f>VLOOKUP($A298,'Privacy Analyst Evaluation'!$A$46:$K$120,8,0)&amp;""</f>
        <v/>
      </c>
      <c r="I298" s="4" t="str">
        <f>VLOOKUP($A298,'Privacy Analyst Evaluation'!$A$46:$K$120,9,0)&amp;""</f>
        <v>Standard Importance</v>
      </c>
      <c r="J298" s="4" t="str">
        <f>VLOOKUP($A298,'Privacy Analyst Evaluation'!$A$46:$K$120,10,0)&amp;""</f>
        <v/>
      </c>
      <c r="K298" s="4">
        <f>IF($I298='Auto Responses'!$J$11,20,IF($I298='Auto Responses'!$J$13,5,10))</f>
        <v>10</v>
      </c>
      <c r="L298" s="107">
        <f>IF($E298='Auto Responses'!$L$13, 'Auto Responses'!$J$5,IF(AND($D298='Auto Responses'!$J$27,$H298=""),'Auto Responses'!$J$5,IF(AND($D298='Auto Responses'!$J$27,$H298='Auto Responses'!$J$7),1,IF(AND($D298='Auto Responses'!$J$27,$H298='Auto Responses'!$J$8),0,IF(OR(AND($F298=$G298,$H298=""),$H298='Auto Responses'!$J$7),1,0)))))</f>
        <v>1</v>
      </c>
      <c r="M298" s="4" t="str">
        <f>VLOOKUP($A298,'Privacy Analyst Evaluation'!$A$46:$K$120,11,0)&amp;""</f>
        <v>FALSE</v>
      </c>
      <c r="N298" s="4">
        <f>IF($J298='Auto Responses'!$J$11,1,IF(AND($J298="",$I298='Auto Responses'!$J$11),1,0))</f>
        <v>0</v>
      </c>
      <c r="O298" s="107">
        <f>IF(OR($E298='Auto Responses'!$L$13,$F298='Auto Responses'!$J$5,$F$24='Auto Responses'!$J$4),'Auto Responses'!$J$5,IF($J298="",$K298,IF($J298='Auto Responses'!$J$13,5,IF($J298='Auto Responses'!$J$12,10,IF($J298='Auto Responses'!$J$11,20,0)))))</f>
        <v>10</v>
      </c>
      <c r="P298" s="107">
        <f>IF(OR($O298='Auto Responses'!$J$5,$L298='Auto Responses'!$J$5),'Auto Responses'!$J$5,$O298*$L298)</f>
        <v>10</v>
      </c>
      <c r="Q298" s="107">
        <f t="shared" si="32"/>
        <v>0</v>
      </c>
      <c r="R298" s="107">
        <f t="shared" si="37"/>
        <v>0</v>
      </c>
      <c r="S298" s="107">
        <f t="shared" si="33"/>
        <v>0</v>
      </c>
      <c r="T298" s="107">
        <f t="shared" si="34"/>
        <v>0</v>
      </c>
      <c r="U298" s="107">
        <f t="shared" si="38"/>
        <v>71</v>
      </c>
      <c r="V298" s="107">
        <f t="shared" si="35"/>
        <v>0</v>
      </c>
    </row>
    <row r="299" spans="1:22" ht="55.2" x14ac:dyDescent="0.3">
      <c r="A299" s="4" t="str">
        <f>Questions!$A299</f>
        <v>DPAI-05</v>
      </c>
      <c r="B299" s="4" t="str">
        <f t="shared" si="36"/>
        <v>DPAI</v>
      </c>
      <c r="C299" s="4" t="str">
        <f>VLOOKUP($A299,Questions!$A$3:$L$333,2,0)&amp;""</f>
        <v>Is AI processing limited to fully licensed commercial enterprise AI services?</v>
      </c>
      <c r="D299" s="4" t="str">
        <f>VLOOKUP($A299,Questions!$A$3:$L$333,11,0)&amp;""</f>
        <v/>
      </c>
      <c r="E299" s="4" t="str">
        <f>VLOOKUP($A299,Questions!$A$3:$L$333,12,0)&amp;""</f>
        <v>Privacy</v>
      </c>
      <c r="F299" s="4" t="str">
        <f>VLOOKUP($A299,'Privacy Analyst Evaluation'!$A$46:$K$120,3,0)&amp;""</f>
        <v>No</v>
      </c>
      <c r="G299" s="4" t="str">
        <f>VLOOKUP($A299,'Privacy Analyst Evaluation'!$A$46:$K$120,7,0)&amp;""</f>
        <v>Yes</v>
      </c>
      <c r="H299" s="4" t="str">
        <f>VLOOKUP($A299,'Privacy Analyst Evaluation'!$A$46:$K$120,8,0)&amp;""</f>
        <v/>
      </c>
      <c r="I299" s="4" t="str">
        <f>VLOOKUP($A299,'Privacy Analyst Evaluation'!$A$46:$K$120,9,0)&amp;""</f>
        <v>Minor Importance</v>
      </c>
      <c r="J299" s="4" t="str">
        <f>VLOOKUP($A299,'Privacy Analyst Evaluation'!$A$46:$K$120,10,0)&amp;""</f>
        <v/>
      </c>
      <c r="K299" s="4">
        <f>IF($I299='Auto Responses'!$J$11,20,IF($I299='Auto Responses'!$J$13,5,10))</f>
        <v>5</v>
      </c>
      <c r="L299" s="107">
        <f>IF($E299='Auto Responses'!$L$13, 'Auto Responses'!$J$5,IF(AND($D299='Auto Responses'!$J$27,$H299=""),'Auto Responses'!$J$5,IF(AND($D299='Auto Responses'!$J$27,$H299='Auto Responses'!$J$7),1,IF(AND($D299='Auto Responses'!$J$27,$H299='Auto Responses'!$J$8),0,IF(OR(AND($F299=$G299,$H299=""),$H299='Auto Responses'!$J$7),1,0)))))</f>
        <v>0</v>
      </c>
      <c r="M299" s="4" t="str">
        <f>VLOOKUP($A299,'Privacy Analyst Evaluation'!$A$46:$K$120,11,0)&amp;""</f>
        <v>FALSE</v>
      </c>
      <c r="N299" s="4">
        <f>IF($J299='Auto Responses'!$J$11,1,IF(AND($J299="",$I299='Auto Responses'!$J$11),1,0))</f>
        <v>0</v>
      </c>
      <c r="O299" s="107">
        <f>IF(OR($E299='Auto Responses'!$L$13,$F299='Auto Responses'!$J$5,$F$24='Auto Responses'!$J$4),'Auto Responses'!$J$5,IF($J299="",$K299,IF($J299='Auto Responses'!$J$13,5,IF($J299='Auto Responses'!$J$12,10,IF($J299='Auto Responses'!$J$11,20,0)))))</f>
        <v>5</v>
      </c>
      <c r="P299" s="107">
        <f>IF(OR($O299='Auto Responses'!$J$5,$L299='Auto Responses'!$J$5),'Auto Responses'!$J$5,$O299*$L299)</f>
        <v>0</v>
      </c>
      <c r="Q299" s="107">
        <f t="shared" si="32"/>
        <v>0</v>
      </c>
      <c r="R299" s="107">
        <f t="shared" si="37"/>
        <v>0</v>
      </c>
      <c r="S299" s="107">
        <f t="shared" si="33"/>
        <v>0</v>
      </c>
      <c r="T299" s="107">
        <f t="shared" si="34"/>
        <v>0</v>
      </c>
      <c r="U299" s="107">
        <f t="shared" si="38"/>
        <v>71</v>
      </c>
      <c r="V299" s="107">
        <f t="shared" si="35"/>
        <v>0</v>
      </c>
    </row>
    <row r="300" spans="1:22" ht="55.2" x14ac:dyDescent="0.3">
      <c r="A300" s="4" t="str">
        <f>Questions!$A300</f>
        <v>DPAI-06</v>
      </c>
      <c r="B300" s="4" t="str">
        <f t="shared" si="36"/>
        <v>DPAI</v>
      </c>
      <c r="C300" s="4" t="str">
        <f>VLOOKUP($A300,Questions!$A$3:$L$333,2,0)&amp;""</f>
        <v>Will institutional data be used or processed by any shared AI services?</v>
      </c>
      <c r="D300" s="4" t="str">
        <f>VLOOKUP($A300,Questions!$A$3:$L$333,11,0)&amp;""</f>
        <v/>
      </c>
      <c r="E300" s="4" t="str">
        <f>VLOOKUP($A300,Questions!$A$3:$L$333,12,0)&amp;""</f>
        <v>Privacy</v>
      </c>
      <c r="F300" s="4" t="str">
        <f>VLOOKUP($A300,'Privacy Analyst Evaluation'!$A$46:$K$120,3,0)&amp;""</f>
        <v>No</v>
      </c>
      <c r="G300" s="4" t="str">
        <f>VLOOKUP($A300,'Privacy Analyst Evaluation'!$A$46:$K$120,7,0)&amp;""</f>
        <v>No</v>
      </c>
      <c r="H300" s="4" t="str">
        <f>VLOOKUP($A300,'Privacy Analyst Evaluation'!$A$46:$K$120,8,0)&amp;""</f>
        <v/>
      </c>
      <c r="I300" s="4" t="str">
        <f>VLOOKUP($A300,'Privacy Analyst Evaluation'!$A$46:$K$120,9,0)&amp;""</f>
        <v>Minor Importance</v>
      </c>
      <c r="J300" s="4" t="str">
        <f>VLOOKUP($A300,'Privacy Analyst Evaluation'!$A$46:$K$120,10,0)&amp;""</f>
        <v/>
      </c>
      <c r="K300" s="4">
        <f>IF($I300='Auto Responses'!$J$11,20,IF($I300='Auto Responses'!$J$13,5,10))</f>
        <v>5</v>
      </c>
      <c r="L300" s="107">
        <f>IF($E300='Auto Responses'!$L$13, 'Auto Responses'!$J$5,IF(AND($D300='Auto Responses'!$J$27,$H300=""),'Auto Responses'!$J$5,IF(AND($D300='Auto Responses'!$J$27,$H300='Auto Responses'!$J$7),1,IF(AND($D300='Auto Responses'!$J$27,$H300='Auto Responses'!$J$8),0,IF(OR(AND($F300=$G300,$H300=""),$H300='Auto Responses'!$J$7),1,0)))))</f>
        <v>1</v>
      </c>
      <c r="M300" s="4" t="str">
        <f>VLOOKUP($A300,'Privacy Analyst Evaluation'!$A$46:$K$120,11,0)&amp;""</f>
        <v>FALSE</v>
      </c>
      <c r="N300" s="4">
        <f>IF($J300='Auto Responses'!$J$11,1,IF(AND($J300="",$I300='Auto Responses'!$J$11),1,0))</f>
        <v>0</v>
      </c>
      <c r="O300" s="107">
        <f>IF(OR($E300='Auto Responses'!$L$13,$F300='Auto Responses'!$J$5,$F$24='Auto Responses'!$J$4),'Auto Responses'!$J$5,IF($J300="",$K300,IF($J300='Auto Responses'!$J$13,5,IF($J300='Auto Responses'!$J$12,10,IF($J300='Auto Responses'!$J$11,20,0)))))</f>
        <v>5</v>
      </c>
      <c r="P300" s="107">
        <f>IF(OR($O300='Auto Responses'!$J$5,$L300='Auto Responses'!$J$5),'Auto Responses'!$J$5,$O300*$L300)</f>
        <v>5</v>
      </c>
      <c r="Q300" s="107">
        <f t="shared" si="32"/>
        <v>0</v>
      </c>
      <c r="R300" s="107">
        <f t="shared" si="37"/>
        <v>0</v>
      </c>
      <c r="S300" s="107">
        <f t="shared" si="33"/>
        <v>0</v>
      </c>
      <c r="T300" s="107">
        <f t="shared" si="34"/>
        <v>0</v>
      </c>
      <c r="U300" s="107">
        <f t="shared" si="38"/>
        <v>71</v>
      </c>
      <c r="V300" s="107">
        <f t="shared" si="35"/>
        <v>0</v>
      </c>
    </row>
    <row r="301" spans="1:22" ht="55.2" x14ac:dyDescent="0.3">
      <c r="A301" s="4" t="str">
        <f>Questions!$A301</f>
        <v>DPAI-07</v>
      </c>
      <c r="B301" s="4" t="str">
        <f t="shared" si="36"/>
        <v>DPAI</v>
      </c>
      <c r="C301" s="4" t="str">
        <f>VLOOKUP($A301,Questions!$A$3:$L$333,2,0)&amp;""</f>
        <v>Do you have safeguards in place to protect institutional data and data privacy from unintended AI queries or processing?</v>
      </c>
      <c r="D301" s="4" t="str">
        <f>VLOOKUP($A301,Questions!$A$3:$L$333,11,0)&amp;""</f>
        <v/>
      </c>
      <c r="E301" s="4" t="str">
        <f>VLOOKUP($A301,Questions!$A$3:$L$333,12,0)&amp;""</f>
        <v>Privacy</v>
      </c>
      <c r="F301" s="4" t="str">
        <f>VLOOKUP($A301,'Privacy Analyst Evaluation'!$A$46:$K$120,3,0)&amp;""</f>
        <v>Yes</v>
      </c>
      <c r="G301" s="4" t="str">
        <f>VLOOKUP($A301,'Privacy Analyst Evaluation'!$A$46:$K$120,7,0)&amp;""</f>
        <v>Yes</v>
      </c>
      <c r="H301" s="4" t="str">
        <f>VLOOKUP($A301,'Privacy Analyst Evaluation'!$A$46:$K$120,8,0)&amp;""</f>
        <v/>
      </c>
      <c r="I301" s="4" t="str">
        <f>VLOOKUP($A301,'Privacy Analyst Evaluation'!$A$46:$K$120,9,0)&amp;""</f>
        <v>Minor Importance</v>
      </c>
      <c r="J301" s="4" t="str">
        <f>VLOOKUP($A301,'Privacy Analyst Evaluation'!$A$46:$K$120,10,0)&amp;""</f>
        <v/>
      </c>
      <c r="K301" s="4">
        <f>IF($I301='Auto Responses'!$J$11,20,IF($I301='Auto Responses'!$J$13,5,10))</f>
        <v>5</v>
      </c>
      <c r="L301" s="107">
        <f>IF($E301='Auto Responses'!$L$13, 'Auto Responses'!$J$5,IF(AND($D301='Auto Responses'!$J$27,$H301=""),'Auto Responses'!$J$5,IF(AND($D301='Auto Responses'!$J$27,$H301='Auto Responses'!$J$7),1,IF(AND($D301='Auto Responses'!$J$27,$H301='Auto Responses'!$J$8),0,IF(OR(AND($F301=$G301,$H301=""),$H301='Auto Responses'!$J$7),1,0)))))</f>
        <v>1</v>
      </c>
      <c r="M301" s="4" t="str">
        <f>VLOOKUP($A301,'Privacy Analyst Evaluation'!$A$46:$K$120,11,0)&amp;""</f>
        <v>FALSE</v>
      </c>
      <c r="N301" s="4">
        <f>IF($J301='Auto Responses'!$J$11,1,IF(AND($J301="",$I301='Auto Responses'!$J$11),1,0))</f>
        <v>0</v>
      </c>
      <c r="O301" s="107">
        <f>IF(OR($E301='Auto Responses'!$L$13,$F301='Auto Responses'!$J$5,$F$24='Auto Responses'!$J$4),'Auto Responses'!$J$5,IF($J301="",$K301,IF($J301='Auto Responses'!$J$13,5,IF($J301='Auto Responses'!$J$12,10,IF($J301='Auto Responses'!$J$11,20,0)))))</f>
        <v>5</v>
      </c>
      <c r="P301" s="107">
        <f>IF(OR($O301='Auto Responses'!$J$5,$L301='Auto Responses'!$J$5),'Auto Responses'!$J$5,$O301*$L301)</f>
        <v>5</v>
      </c>
      <c r="Q301" s="107">
        <f t="shared" si="32"/>
        <v>0</v>
      </c>
      <c r="R301" s="107">
        <f t="shared" si="37"/>
        <v>0</v>
      </c>
      <c r="S301" s="107">
        <f t="shared" si="33"/>
        <v>0</v>
      </c>
      <c r="T301" s="107">
        <f t="shared" si="34"/>
        <v>0</v>
      </c>
      <c r="U301" s="107">
        <f t="shared" si="38"/>
        <v>71</v>
      </c>
      <c r="V301" s="107">
        <f t="shared" si="35"/>
        <v>0</v>
      </c>
    </row>
    <row r="302" spans="1:22" ht="55.2" x14ac:dyDescent="0.3">
      <c r="A302" s="4" t="str">
        <f>Questions!$A302</f>
        <v>DPAI-08</v>
      </c>
      <c r="B302" s="4" t="str">
        <f t="shared" si="36"/>
        <v>DPAI</v>
      </c>
      <c r="C302" s="4" t="str">
        <f>VLOOKUP($A302,Questions!$A$3:$L$333,2,0)&amp;""</f>
        <v>Do you provide choice to the user to opt out of AI use?</v>
      </c>
      <c r="D302" s="4" t="str">
        <f>VLOOKUP($A302,Questions!$A$3:$L$333,11,0)&amp;""</f>
        <v/>
      </c>
      <c r="E302" s="4" t="str">
        <f>VLOOKUP($A302,Questions!$A$3:$L$333,12,0)&amp;""</f>
        <v>Privacy</v>
      </c>
      <c r="F302" s="4" t="str">
        <f>VLOOKUP($A302,'Privacy Analyst Evaluation'!$A$46:$K$120,3,0)&amp;""</f>
        <v>Yes</v>
      </c>
      <c r="G302" s="4" t="str">
        <f>VLOOKUP($A302,'Privacy Analyst Evaluation'!$A$46:$K$120,7,0)&amp;""</f>
        <v>Yes</v>
      </c>
      <c r="H302" s="4" t="str">
        <f>VLOOKUP($A302,'Privacy Analyst Evaluation'!$A$46:$K$120,8,0)&amp;""</f>
        <v/>
      </c>
      <c r="I302" s="4" t="str">
        <f>VLOOKUP($A302,'Privacy Analyst Evaluation'!$A$46:$K$120,9,0)&amp;""</f>
        <v>Minor Importance</v>
      </c>
      <c r="J302" s="4" t="str">
        <f>VLOOKUP($A302,'Privacy Analyst Evaluation'!$A$46:$K$120,10,0)&amp;""</f>
        <v/>
      </c>
      <c r="K302" s="4">
        <f>IF($I302='Auto Responses'!$J$11,20,IF($I302='Auto Responses'!$J$13,5,10))</f>
        <v>5</v>
      </c>
      <c r="L302" s="107">
        <f>IF($E302='Auto Responses'!$L$13, 'Auto Responses'!$J$5,IF(AND($D302='Auto Responses'!$J$27,$H302=""),'Auto Responses'!$J$5,IF(AND($D302='Auto Responses'!$J$27,$H302='Auto Responses'!$J$7),1,IF(AND($D302='Auto Responses'!$J$27,$H302='Auto Responses'!$J$8),0,IF(OR(AND($F302=$G302,$H302=""),$H302='Auto Responses'!$J$7),1,0)))))</f>
        <v>1</v>
      </c>
      <c r="M302" s="4" t="str">
        <f>VLOOKUP($A302,'Privacy Analyst Evaluation'!$A$46:$K$120,11,0)&amp;""</f>
        <v>FALSE</v>
      </c>
      <c r="N302" s="4">
        <f>IF($J302='Auto Responses'!$J$11,1,IF(AND($J302="",$I302='Auto Responses'!$J$11),1,0))</f>
        <v>0</v>
      </c>
      <c r="O302" s="107">
        <f>IF(OR($E302='Auto Responses'!$L$13,$F302='Auto Responses'!$J$5,$F$24='Auto Responses'!$J$4),'Auto Responses'!$J$5,IF($J302="",$K302,IF($J302='Auto Responses'!$J$13,5,IF($J302='Auto Responses'!$J$12,10,IF($J302='Auto Responses'!$J$11,20,0)))))</f>
        <v>5</v>
      </c>
      <c r="P302" s="107">
        <f>IF(OR($O302='Auto Responses'!$J$5,$L302='Auto Responses'!$J$5),'Auto Responses'!$J$5,$O302*$L302)</f>
        <v>5</v>
      </c>
      <c r="Q302" s="107">
        <f t="shared" si="32"/>
        <v>0</v>
      </c>
      <c r="R302" s="107">
        <f t="shared" si="37"/>
        <v>0</v>
      </c>
      <c r="S302" s="107">
        <f t="shared" si="33"/>
        <v>0</v>
      </c>
      <c r="T302" s="107">
        <f t="shared" si="34"/>
        <v>0</v>
      </c>
      <c r="U302" s="107">
        <f t="shared" si="38"/>
        <v>71</v>
      </c>
      <c r="V302" s="107">
        <f t="shared" si="35"/>
        <v>0</v>
      </c>
    </row>
    <row r="303" spans="1:22" ht="55.2" x14ac:dyDescent="0.3">
      <c r="A303" s="4" t="str">
        <f>Questions!$A303</f>
        <v>AIQU-01</v>
      </c>
      <c r="B303" s="4" t="str">
        <f t="shared" si="36"/>
        <v>AIQU</v>
      </c>
      <c r="C303" s="4" t="str">
        <f>VLOOKUP($A303,Questions!$A$3:$L$333,2,0)&amp;""</f>
        <v>Does your solution leverage machine learning (ML) or do you plan to do so in the next 12 months?</v>
      </c>
      <c r="D303" s="4" t="str">
        <f>VLOOKUP($A303,Questions!$A$3:$L$333,11,0)&amp;""</f>
        <v>NA</v>
      </c>
      <c r="E303" s="4" t="str">
        <f>VLOOKUP($A303,Questions!$A$3:$L$333,12,0)&amp;""</f>
        <v>Not scored</v>
      </c>
      <c r="F303" s="4" t="str">
        <f>VLOOKUP($A303,'Institution Evaluation'!$A$56:$K$345,3,0)&amp;""</f>
        <v>Yes</v>
      </c>
      <c r="G303" s="4" t="str">
        <f>VLOOKUP($A303,'Institution Evaluation'!$A$56:$K$345,7,0)&amp;""</f>
        <v>Not scored</v>
      </c>
      <c r="H303" s="4" t="str">
        <f>VLOOKUP($A303,'Institution Evaluation'!$A$56:$K$345,8,0)&amp;""</f>
        <v/>
      </c>
      <c r="I303" s="4" t="str">
        <f>VLOOKUP($A303,'Institution Evaluation'!$A$56:$K$345,9,0)&amp;""</f>
        <v/>
      </c>
      <c r="J303" s="4" t="str">
        <f>VLOOKUP($A303,'Institution Evaluation'!$A$56:$K$345,10,0)&amp;""</f>
        <v/>
      </c>
      <c r="K303" s="4">
        <f>IF($I303='Auto Responses'!$J$11,20,IF($I303='Auto Responses'!$J$13,5,10))</f>
        <v>10</v>
      </c>
      <c r="L303" s="107" t="str">
        <f>IF($E303='Auto Responses'!$L$13, 'Auto Responses'!$J$5,IF(AND($D303='Auto Responses'!$J$27,$H303=""),'Auto Responses'!$J$5,IF(AND($D303='Auto Responses'!$J$27,$H303='Auto Responses'!$J$7),1,IF(AND($D303='Auto Responses'!$J$27,$H303='Auto Responses'!$J$8),0,IF(OR(AND($F303=$G303,$H303=""),$H303='Auto Responses'!$J$7),1,0)))))</f>
        <v>N/A</v>
      </c>
      <c r="M303" s="4" t="str">
        <f>VLOOKUP($A303,'Institution Evaluation'!$A$56:$K$345,11,0)&amp;""</f>
        <v>FALSE</v>
      </c>
      <c r="N303" s="4">
        <f>IF($J303='Auto Responses'!$J$11,1,IF(AND($J303="",$I303='Auto Responses'!$J$11),1,0))</f>
        <v>0</v>
      </c>
      <c r="O303" s="107" t="str">
        <f>IF(OR($F$20='Auto Responses'!$J$4,$E303='Auto Responses'!$L$13,$F303='Auto Responses'!$J$5),'Auto Responses'!$J$5,IF($J303="",$K303,IF($J303='Auto Responses'!$J$13,5,IF($J303='Auto Responses'!$J$12,10,IF($J303='Auto Responses'!$J$11,20,0)))))</f>
        <v>N/A</v>
      </c>
      <c r="P303" s="107" t="str">
        <f>IF(OR($O303='Auto Responses'!$J$5,$L303='Auto Responses'!$J$5),'Auto Responses'!$J$5,$O303*$L303)</f>
        <v>N/A</v>
      </c>
      <c r="Q303" s="107">
        <f t="shared" si="32"/>
        <v>0</v>
      </c>
      <c r="R303" s="107">
        <f t="shared" si="37"/>
        <v>0</v>
      </c>
      <c r="S303" s="107">
        <f t="shared" si="33"/>
        <v>0</v>
      </c>
      <c r="T303" s="107">
        <f t="shared" si="34"/>
        <v>0</v>
      </c>
      <c r="U303" s="107">
        <f t="shared" si="38"/>
        <v>71</v>
      </c>
      <c r="V303" s="107">
        <f t="shared" si="35"/>
        <v>0</v>
      </c>
    </row>
    <row r="304" spans="1:22" ht="55.2" x14ac:dyDescent="0.3">
      <c r="A304" s="4" t="str">
        <f>Questions!$A304</f>
        <v>AIQU-02</v>
      </c>
      <c r="B304" s="4" t="str">
        <f t="shared" si="36"/>
        <v>AIQU</v>
      </c>
      <c r="C304" s="4" t="str">
        <f>VLOOKUP($A304,Questions!$A$3:$L$333,2,0)&amp;""</f>
        <v>Does your solution leverage a large language model (LLM) or do you plan to do so in the next 12 months?</v>
      </c>
      <c r="D304" s="4" t="str">
        <f>VLOOKUP($A304,Questions!$A$3:$L$333,11,0)&amp;""</f>
        <v>NA</v>
      </c>
      <c r="E304" s="4" t="str">
        <f>VLOOKUP($A304,Questions!$A$3:$L$333,12,0)&amp;""</f>
        <v>Not scored</v>
      </c>
      <c r="F304" s="4" t="str">
        <f>VLOOKUP($A304,'Institution Evaluation'!$A$56:$K$345,3,0)&amp;""</f>
        <v>No</v>
      </c>
      <c r="G304" s="4" t="str">
        <f>VLOOKUP($A304,'Institution Evaluation'!$A$56:$K$345,7,0)&amp;""</f>
        <v>Not scored</v>
      </c>
      <c r="H304" s="4" t="str">
        <f>VLOOKUP($A304,'Institution Evaluation'!$A$56:$K$345,8,0)&amp;""</f>
        <v/>
      </c>
      <c r="I304" s="4" t="str">
        <f>VLOOKUP($A304,'Institution Evaluation'!$A$56:$K$345,9,0)&amp;""</f>
        <v/>
      </c>
      <c r="J304" s="4" t="str">
        <f>VLOOKUP($A304,'Institution Evaluation'!$A$56:$K$345,10,0)&amp;""</f>
        <v/>
      </c>
      <c r="K304" s="4">
        <f>IF($I304='Auto Responses'!$J$11,20,IF($I304='Auto Responses'!$J$13,5,10))</f>
        <v>10</v>
      </c>
      <c r="L304" s="107" t="str">
        <f>IF($E304='Auto Responses'!$L$13, 'Auto Responses'!$J$5,IF(AND($D304='Auto Responses'!$J$27,$H304=""),'Auto Responses'!$J$5,IF(AND($D304='Auto Responses'!$J$27,$H304='Auto Responses'!$J$7),1,IF(AND($D304='Auto Responses'!$J$27,$H304='Auto Responses'!$J$8),0,IF(OR(AND($F304=$G304,$H304=""),$H304='Auto Responses'!$J$7),1,0)))))</f>
        <v>N/A</v>
      </c>
      <c r="M304" s="4" t="str">
        <f>VLOOKUP($A304,'Institution Evaluation'!$A$56:$K$345,11,0)&amp;""</f>
        <v>FALSE</v>
      </c>
      <c r="N304" s="4">
        <f>IF($J304='Auto Responses'!$J$11,1,IF(AND($J304="",$I304='Auto Responses'!$J$11),1,0))</f>
        <v>0</v>
      </c>
      <c r="O304" s="107" t="str">
        <f>IF(OR($F$20='Auto Responses'!$J$4,$E304='Auto Responses'!$L$13,$F304='Auto Responses'!$J$5),'Auto Responses'!$J$5,IF($J304="",$K304,IF($J304='Auto Responses'!$J$13,5,IF($J304='Auto Responses'!$J$12,10,IF($J304='Auto Responses'!$J$11,20,0)))))</f>
        <v>N/A</v>
      </c>
      <c r="P304" s="107" t="str">
        <f>IF(OR($O304='Auto Responses'!$J$5,$L304='Auto Responses'!$J$5),'Auto Responses'!$J$5,$O304*$L304)</f>
        <v>N/A</v>
      </c>
      <c r="Q304" s="107">
        <f t="shared" si="32"/>
        <v>0</v>
      </c>
      <c r="R304" s="107">
        <f t="shared" si="37"/>
        <v>0</v>
      </c>
      <c r="S304" s="107">
        <f t="shared" si="33"/>
        <v>0</v>
      </c>
      <c r="T304" s="107">
        <f t="shared" si="34"/>
        <v>0</v>
      </c>
      <c r="U304" s="107">
        <f t="shared" si="38"/>
        <v>71</v>
      </c>
      <c r="V304" s="107">
        <f t="shared" si="35"/>
        <v>0</v>
      </c>
    </row>
    <row r="305" spans="1:22" ht="55.2" x14ac:dyDescent="0.3">
      <c r="A305" s="4" t="str">
        <f>Questions!$A305</f>
        <v>AIGN-01</v>
      </c>
      <c r="B305" s="4" t="str">
        <f t="shared" si="36"/>
        <v>AIGN</v>
      </c>
      <c r="C305" s="4" t="str">
        <f>VLOOKUP($A305,Questions!$A$3:$L$333,2,0)&amp;""</f>
        <v>Does your solution have an AI risk model when developing or implementing your solution's AI model?*</v>
      </c>
      <c r="D305" s="4" t="str">
        <f>VLOOKUP($A305,Questions!$A$3:$L$333,11,0)&amp;""</f>
        <v/>
      </c>
      <c r="E305" s="4" t="str">
        <f>VLOOKUP($A305,Questions!$A$3:$L$333,12,0)&amp;""</f>
        <v>AI</v>
      </c>
      <c r="F305" s="4" t="str">
        <f>VLOOKUP($A305,'Institution Evaluation'!$A$56:$K$345,3,0)&amp;""</f>
        <v>No</v>
      </c>
      <c r="G305" s="4" t="str">
        <f>VLOOKUP($A305,'Institution Evaluation'!$A$56:$K$345,7,0)&amp;""</f>
        <v>Yes</v>
      </c>
      <c r="H305" s="4" t="str">
        <f>VLOOKUP($A305,'Institution Evaluation'!$A$56:$K$345,8,0)&amp;""</f>
        <v/>
      </c>
      <c r="I305" s="4" t="str">
        <f>VLOOKUP($A305,'Institution Evaluation'!$A$56:$K$345,9,0)&amp;""</f>
        <v>Critical Importance</v>
      </c>
      <c r="J305" s="4" t="str">
        <f>VLOOKUP($A305,'Institution Evaluation'!$A$56:$K$345,10,0)&amp;""</f>
        <v/>
      </c>
      <c r="K305" s="4">
        <f>IF($I305='Auto Responses'!$J$11,20,IF($I305='Auto Responses'!$J$13,5,10))</f>
        <v>20</v>
      </c>
      <c r="L305" s="107">
        <f>IF($E305='Auto Responses'!$L$13, 'Auto Responses'!$J$5,IF(AND($D305='Auto Responses'!$J$27,$H305=""),'Auto Responses'!$J$5,IF(AND($D305='Auto Responses'!$J$27,$H305='Auto Responses'!$J$7),1,IF(AND($D305='Auto Responses'!$J$27,$H305='Auto Responses'!$J$8),0,IF(OR(AND($F305=$G305,$H305=""),$H305='Auto Responses'!$J$7),1,0)))))</f>
        <v>0</v>
      </c>
      <c r="M305" s="4" t="str">
        <f>VLOOKUP($A305,'Institution Evaluation'!$A$56:$K$345,11,0)&amp;""</f>
        <v>FALSE</v>
      </c>
      <c r="N305" s="4">
        <f>IF($J305='Auto Responses'!$J$11,1,IF(AND($J305="",$I305='Auto Responses'!$J$11),1,0))</f>
        <v>1</v>
      </c>
      <c r="O305" s="107">
        <f>IF(OR($F$20='Auto Responses'!$J$4,$E305='Auto Responses'!$L$13,$F305='Auto Responses'!$J$5),'Auto Responses'!$J$5,IF($J305="",$K305,IF($J305='Auto Responses'!$J$13,5,IF($J305='Auto Responses'!$J$12,10,IF($J305='Auto Responses'!$J$11,20,0)))))</f>
        <v>20</v>
      </c>
      <c r="P305" s="107">
        <f>IF(OR($O305='Auto Responses'!$J$5,$L305='Auto Responses'!$J$5),'Auto Responses'!$J$5,$O305*$L305)</f>
        <v>0</v>
      </c>
      <c r="Q305" s="107">
        <f t="shared" si="32"/>
        <v>0</v>
      </c>
      <c r="R305" s="107">
        <f t="shared" si="37"/>
        <v>0</v>
      </c>
      <c r="S305" s="107">
        <f t="shared" si="33"/>
        <v>0</v>
      </c>
      <c r="T305" s="107">
        <f t="shared" si="34"/>
        <v>1</v>
      </c>
      <c r="U305" s="107">
        <f t="shared" si="38"/>
        <v>72</v>
      </c>
      <c r="V305" s="107">
        <f t="shared" si="35"/>
        <v>72</v>
      </c>
    </row>
    <row r="306" spans="1:22" ht="55.2" x14ac:dyDescent="0.3">
      <c r="A306" s="4" t="str">
        <f>Questions!$A306</f>
        <v>AIGN-02</v>
      </c>
      <c r="B306" s="4" t="str">
        <f t="shared" si="36"/>
        <v>AIGN</v>
      </c>
      <c r="C306" s="4" t="str">
        <f>VLOOKUP($A306,Questions!$A$3:$L$333,2,0)&amp;""</f>
        <v>Can your solution's AI features be disabled by tenant and/or user?*</v>
      </c>
      <c r="D306" s="4" t="str">
        <f>VLOOKUP($A306,Questions!$A$3:$L$333,11,0)&amp;""</f>
        <v/>
      </c>
      <c r="E306" s="4" t="str">
        <f>VLOOKUP($A306,Questions!$A$3:$L$333,12,0)&amp;""</f>
        <v>AI</v>
      </c>
      <c r="F306" s="4" t="str">
        <f>VLOOKUP($A306,'Institution Evaluation'!$A$56:$K$345,3,0)&amp;""</f>
        <v>No</v>
      </c>
      <c r="G306" s="4" t="str">
        <f>VLOOKUP($A306,'Institution Evaluation'!$A$56:$K$345,7,0)&amp;""</f>
        <v>Yes</v>
      </c>
      <c r="H306" s="4" t="str">
        <f>VLOOKUP($A306,'Institution Evaluation'!$A$56:$K$345,8,0)&amp;""</f>
        <v/>
      </c>
      <c r="I306" s="4" t="str">
        <f>VLOOKUP($A306,'Institution Evaluation'!$A$56:$K$345,9,0)&amp;""</f>
        <v>Critical Importance</v>
      </c>
      <c r="J306" s="4" t="str">
        <f>VLOOKUP($A306,'Institution Evaluation'!$A$56:$K$345,10,0)&amp;""</f>
        <v/>
      </c>
      <c r="K306" s="4">
        <f>IF($I306='Auto Responses'!$J$11,20,IF($I306='Auto Responses'!$J$13,5,10))</f>
        <v>20</v>
      </c>
      <c r="L306" s="107">
        <f>IF($E306='Auto Responses'!$L$13, 'Auto Responses'!$J$5,IF(AND($D306='Auto Responses'!$J$27,$H306=""),'Auto Responses'!$J$5,IF(AND($D306='Auto Responses'!$J$27,$H306='Auto Responses'!$J$7),1,IF(AND($D306='Auto Responses'!$J$27,$H306='Auto Responses'!$J$8),0,IF(OR(AND($F306=$G306,$H306=""),$H306='Auto Responses'!$J$7),1,0)))))</f>
        <v>0</v>
      </c>
      <c r="M306" s="4" t="str">
        <f>VLOOKUP($A306,'Institution Evaluation'!$A$56:$K$345,11,0)&amp;""</f>
        <v>FALSE</v>
      </c>
      <c r="N306" s="4">
        <f>IF($J306='Auto Responses'!$J$11,1,IF(AND($J306="",$I306='Auto Responses'!$J$11),1,0))</f>
        <v>1</v>
      </c>
      <c r="O306" s="107">
        <f>IF(OR($F$20='Auto Responses'!$J$4,$E306='Auto Responses'!$L$13,$F306='Auto Responses'!$J$5),'Auto Responses'!$J$5,IF($J306="",$K306,IF($J306='Auto Responses'!$J$13,5,IF($J306='Auto Responses'!$J$12,10,IF($J306='Auto Responses'!$J$11,20,0)))))</f>
        <v>20</v>
      </c>
      <c r="P306" s="107">
        <f>IF(OR($O306='Auto Responses'!$J$5,$L306='Auto Responses'!$J$5),'Auto Responses'!$J$5,$O306*$L306)</f>
        <v>0</v>
      </c>
      <c r="Q306" s="107">
        <f t="shared" si="32"/>
        <v>0</v>
      </c>
      <c r="R306" s="107">
        <f t="shared" si="37"/>
        <v>0</v>
      </c>
      <c r="S306" s="107">
        <f t="shared" si="33"/>
        <v>0</v>
      </c>
      <c r="T306" s="107">
        <f t="shared" si="34"/>
        <v>1</v>
      </c>
      <c r="U306" s="107">
        <f t="shared" si="38"/>
        <v>73</v>
      </c>
      <c r="V306" s="107">
        <f t="shared" si="35"/>
        <v>73</v>
      </c>
    </row>
    <row r="307" spans="1:22" ht="55.2" x14ac:dyDescent="0.3">
      <c r="A307" s="4" t="str">
        <f>Questions!$A307</f>
        <v>AIGN-03</v>
      </c>
      <c r="B307" s="4" t="str">
        <f t="shared" si="36"/>
        <v>AIGN</v>
      </c>
      <c r="C307" s="4" t="str">
        <f>VLOOKUP($A307,Questions!$A$3:$L$333,2,0)&amp;""</f>
        <v>Have your staff completed responsible AI training?*</v>
      </c>
      <c r="D307" s="4" t="str">
        <f>VLOOKUP($A307,Questions!$A$3:$L$333,11,0)&amp;""</f>
        <v/>
      </c>
      <c r="E307" s="4" t="str">
        <f>VLOOKUP($A307,Questions!$A$3:$L$333,12,0)&amp;""</f>
        <v>AI</v>
      </c>
      <c r="F307" s="4" t="str">
        <f>VLOOKUP($A307,'Institution Evaluation'!$A$56:$K$345,3,0)&amp;""</f>
        <v>No</v>
      </c>
      <c r="G307" s="4" t="str">
        <f>VLOOKUP($A307,'Institution Evaluation'!$A$56:$K$345,7,0)&amp;""</f>
        <v>Yes</v>
      </c>
      <c r="H307" s="4" t="str">
        <f>VLOOKUP($A307,'Institution Evaluation'!$A$56:$K$345,8,0)&amp;""</f>
        <v/>
      </c>
      <c r="I307" s="4" t="str">
        <f>VLOOKUP($A307,'Institution Evaluation'!$A$56:$K$345,9,0)&amp;""</f>
        <v>Critical Importance</v>
      </c>
      <c r="J307" s="4" t="str">
        <f>VLOOKUP($A307,'Institution Evaluation'!$A$56:$K$345,10,0)&amp;""</f>
        <v/>
      </c>
      <c r="K307" s="4">
        <f>IF($I307='Auto Responses'!$J$11,20,IF($I307='Auto Responses'!$J$13,5,10))</f>
        <v>20</v>
      </c>
      <c r="L307" s="107">
        <f>IF($E307='Auto Responses'!$L$13, 'Auto Responses'!$J$5,IF(AND($D307='Auto Responses'!$J$27,$H307=""),'Auto Responses'!$J$5,IF(AND($D307='Auto Responses'!$J$27,$H307='Auto Responses'!$J$7),1,IF(AND($D307='Auto Responses'!$J$27,$H307='Auto Responses'!$J$8),0,IF(OR(AND($F307=$G307,$H307=""),$H307='Auto Responses'!$J$7),1,0)))))</f>
        <v>0</v>
      </c>
      <c r="M307" s="4" t="str">
        <f>VLOOKUP($A307,'Institution Evaluation'!$A$56:$K$345,11,0)&amp;""</f>
        <v>FALSE</v>
      </c>
      <c r="N307" s="4">
        <f>IF($J307='Auto Responses'!$J$11,1,IF(AND($J307="",$I307='Auto Responses'!$J$11),1,0))</f>
        <v>1</v>
      </c>
      <c r="O307" s="107">
        <f>IF(OR($F$20='Auto Responses'!$J$4,$E307='Auto Responses'!$L$13,$F307='Auto Responses'!$J$5),'Auto Responses'!$J$5,IF($J307="",$K307,IF($J307='Auto Responses'!$J$13,5,IF($J307='Auto Responses'!$J$12,10,IF($J307='Auto Responses'!$J$11,20,0)))))</f>
        <v>20</v>
      </c>
      <c r="P307" s="107">
        <f>IF(OR($O307='Auto Responses'!$J$5,$L307='Auto Responses'!$J$5),'Auto Responses'!$J$5,$O307*$L307)</f>
        <v>0</v>
      </c>
      <c r="Q307" s="107">
        <f t="shared" si="32"/>
        <v>0</v>
      </c>
      <c r="R307" s="107">
        <f t="shared" si="37"/>
        <v>0</v>
      </c>
      <c r="S307" s="107">
        <f t="shared" si="33"/>
        <v>0</v>
      </c>
      <c r="T307" s="107">
        <f t="shared" si="34"/>
        <v>1</v>
      </c>
      <c r="U307" s="107">
        <f t="shared" si="38"/>
        <v>74</v>
      </c>
      <c r="V307" s="107">
        <f t="shared" si="35"/>
        <v>74</v>
      </c>
    </row>
    <row r="308" spans="1:22" ht="409.6" x14ac:dyDescent="0.3">
      <c r="A308" s="4" t="str">
        <f>Questions!$A308</f>
        <v>AIGN-04</v>
      </c>
      <c r="B308" s="4" t="str">
        <f t="shared" si="36"/>
        <v>AIGN</v>
      </c>
      <c r="C308" s="4" t="str">
        <f>VLOOKUP($A308,Questions!$A$3:$L$333,2,0)&amp;""</f>
        <v>Please describe the capabilities of your solution's AI features.</v>
      </c>
      <c r="D308" s="4" t="str">
        <f>VLOOKUP($A308,Questions!$A$3:$L$333,11,0)&amp;""</f>
        <v/>
      </c>
      <c r="E308" s="4" t="str">
        <f>VLOOKUP($A308,Questions!$A$3:$L$333,12,0)&amp;""</f>
        <v>Not scored</v>
      </c>
      <c r="F308" s="4" t="str">
        <f>VLOOKUP($A308,'Institution Evaluation'!$A$56:$K$345,3,0)&amp;""</f>
        <v>Cursive's AI features are classifiers not generative AI. The two production models verify identity and originality of student writing through typing-biometric and behavioral analysis:
Keyread (typing-biometric authorship classifier): Continuously verifies that the writer of a piece of text matches their established typing-biometric profile. Outputs a binary determination of "Verified" (typing pattern matches the established author profile) or "Verifying" (insufficient information to confirm additional session data or future session data is required to reclassify). The threshold can be customized within an LMS deployment. 
Copy-behavior (originality classifier): Distinguishes authentic composition from adversarial behaviors specifically, the most common being the "retype-from-LLM-output" pattern, where a user generates text via a generative AI tool (ChatGPT, Claude, etc.) and retypes it into the writing canvas to evade detection by tools that examine only final text. Outputs surface non-typed (pasted) content and adversarial typing-behavior signatures for instructor review.
All AI determinations are presented to a human (the instructor). No grading, disciplinary action, or end-user-facing consequence is applied on the basis of model output. Both models are proprietary and trained by Cursive on Cursive-owned datasets; no third-party LLM, foundation model, or commercial AI service is used in production.</v>
      </c>
      <c r="G308" s="4" t="str">
        <f>VLOOKUP($A308,'Institution Evaluation'!$A$56:$K$345,7,0)&amp;""</f>
        <v>Not scored</v>
      </c>
      <c r="H308" s="4" t="str">
        <f>VLOOKUP($A308,'Institution Evaluation'!$A$56:$K$345,8,0)&amp;""</f>
        <v/>
      </c>
      <c r="I308" s="4" t="str">
        <f>VLOOKUP($A308,'Institution Evaluation'!$A$56:$K$345,9,0)&amp;""</f>
        <v/>
      </c>
      <c r="J308" s="4" t="str">
        <f>VLOOKUP($A308,'Institution Evaluation'!$A$56:$K$345,10,0)&amp;""</f>
        <v/>
      </c>
      <c r="K308" s="4">
        <f>IF($I308='Auto Responses'!$J$11,20,IF($I308='Auto Responses'!$J$13,5,10))</f>
        <v>10</v>
      </c>
      <c r="L308" s="107" t="str">
        <f>IF($E308='Auto Responses'!$L$13, 'Auto Responses'!$J$5,IF(AND($D308='Auto Responses'!$J$27,$H308=""),'Auto Responses'!$J$5,IF(AND($D308='Auto Responses'!$J$27,$H308='Auto Responses'!$J$7),1,IF(AND($D308='Auto Responses'!$J$27,$H308='Auto Responses'!$J$8),0,IF(OR(AND($F308=$G308,$H308=""),$H308='Auto Responses'!$J$7),1,0)))))</f>
        <v>N/A</v>
      </c>
      <c r="M308" s="4" t="str">
        <f>VLOOKUP($A308,'Institution Evaluation'!$A$56:$K$345,11,0)&amp;""</f>
        <v>FALSE</v>
      </c>
      <c r="N308" s="4">
        <f>IF($J308='Auto Responses'!$J$11,1,IF(AND($J308="",$I308='Auto Responses'!$J$11),1,0))</f>
        <v>0</v>
      </c>
      <c r="O308" s="107" t="str">
        <f>IF(OR($F$20='Auto Responses'!$J$4,$E308='Auto Responses'!$L$13,$F308='Auto Responses'!$J$5),'Auto Responses'!$J$5,IF($J308="",$K308,IF($J308='Auto Responses'!$J$13,5,IF($J308='Auto Responses'!$J$12,10,IF($J308='Auto Responses'!$J$11,20,0)))))</f>
        <v>N/A</v>
      </c>
      <c r="P308" s="107" t="str">
        <f>IF(OR($O308='Auto Responses'!$J$5,$L308='Auto Responses'!$J$5),'Auto Responses'!$J$5,$O308*$L308)</f>
        <v>N/A</v>
      </c>
      <c r="Q308" s="107">
        <f t="shared" si="32"/>
        <v>0</v>
      </c>
      <c r="R308" s="107">
        <f t="shared" si="37"/>
        <v>0</v>
      </c>
      <c r="S308" s="107">
        <f t="shared" si="33"/>
        <v>0</v>
      </c>
      <c r="T308" s="107">
        <f t="shared" si="34"/>
        <v>0</v>
      </c>
      <c r="U308" s="107">
        <f t="shared" si="38"/>
        <v>74</v>
      </c>
      <c r="V308" s="107">
        <f t="shared" si="35"/>
        <v>0</v>
      </c>
    </row>
    <row r="309" spans="1:22" ht="55.2" x14ac:dyDescent="0.3">
      <c r="A309" s="4" t="str">
        <f>Questions!$A309</f>
        <v>AIGN-05</v>
      </c>
      <c r="B309" s="4" t="str">
        <f t="shared" si="36"/>
        <v>AIGN</v>
      </c>
      <c r="C309" s="4" t="str">
        <f>VLOOKUP($A309,Questions!$A$3:$L$333,2,0)&amp;""</f>
        <v>Does your solution support business rules to protect sensitive data from being ingested by the AI model?</v>
      </c>
      <c r="D309" s="4" t="str">
        <f>VLOOKUP($A309,Questions!$A$3:$L$333,11,0)&amp;""</f>
        <v/>
      </c>
      <c r="E309" s="4" t="str">
        <f>VLOOKUP($A309,Questions!$A$3:$L$333,12,0)&amp;""</f>
        <v>AI</v>
      </c>
      <c r="F309" s="4" t="str">
        <f>VLOOKUP($A309,'Institution Evaluation'!$A$56:$K$345,3,0)&amp;""</f>
        <v>Yes</v>
      </c>
      <c r="G309" s="4" t="str">
        <f>VLOOKUP($A309,'Institution Evaluation'!$A$56:$K$345,7,0)&amp;""</f>
        <v>Yes</v>
      </c>
      <c r="H309" s="4" t="str">
        <f>VLOOKUP($A309,'Institution Evaluation'!$A$56:$K$345,8,0)&amp;""</f>
        <v/>
      </c>
      <c r="I309" s="4" t="str">
        <f>VLOOKUP($A309,'Institution Evaluation'!$A$56:$K$345,9,0)&amp;""</f>
        <v>Standard Importance</v>
      </c>
      <c r="J309" s="4" t="str">
        <f>VLOOKUP($A309,'Institution Evaluation'!$A$56:$K$345,10,0)&amp;""</f>
        <v/>
      </c>
      <c r="K309" s="4">
        <f>IF($I309='Auto Responses'!$J$11,20,IF($I309='Auto Responses'!$J$13,5,10))</f>
        <v>10</v>
      </c>
      <c r="L309" s="107">
        <f>IF($E309='Auto Responses'!$L$13, 'Auto Responses'!$J$5,IF(AND($D309='Auto Responses'!$J$27,$H309=""),'Auto Responses'!$J$5,IF(AND($D309='Auto Responses'!$J$27,$H309='Auto Responses'!$J$7),1,IF(AND($D309='Auto Responses'!$J$27,$H309='Auto Responses'!$J$8),0,IF(OR(AND($F309=$G309,$H309=""),$H309='Auto Responses'!$J$7),1,0)))))</f>
        <v>1</v>
      </c>
      <c r="M309" s="4" t="str">
        <f>VLOOKUP($A309,'Institution Evaluation'!$A$56:$K$345,11,0)&amp;""</f>
        <v>FALSE</v>
      </c>
      <c r="N309" s="4">
        <f>IF($J309='Auto Responses'!$J$11,1,IF(AND($J309="",$I309='Auto Responses'!$J$11),1,0))</f>
        <v>0</v>
      </c>
      <c r="O309" s="107">
        <f>IF(OR($F$20='Auto Responses'!$J$4,$E309='Auto Responses'!$L$13,$F309='Auto Responses'!$J$5),'Auto Responses'!$J$5,IF($J309="",$K309,IF($J309='Auto Responses'!$J$13,5,IF($J309='Auto Responses'!$J$12,10,IF($J309='Auto Responses'!$J$11,20,0)))))</f>
        <v>10</v>
      </c>
      <c r="P309" s="107">
        <f>IF(OR($O309='Auto Responses'!$J$5,$L309='Auto Responses'!$J$5),'Auto Responses'!$J$5,$O309*$L309)</f>
        <v>10</v>
      </c>
      <c r="Q309" s="107">
        <f t="shared" si="32"/>
        <v>0</v>
      </c>
      <c r="R309" s="107">
        <f t="shared" si="37"/>
        <v>0</v>
      </c>
      <c r="S309" s="107">
        <f t="shared" si="33"/>
        <v>0</v>
      </c>
      <c r="T309" s="107">
        <f t="shared" si="34"/>
        <v>0</v>
      </c>
      <c r="U309" s="107">
        <f t="shared" si="38"/>
        <v>74</v>
      </c>
      <c r="V309" s="107">
        <f t="shared" si="35"/>
        <v>0</v>
      </c>
    </row>
    <row r="310" spans="1:22" ht="69" x14ac:dyDescent="0.3">
      <c r="A310" s="4" t="str">
        <f>Questions!$A310</f>
        <v>AIPL-01</v>
      </c>
      <c r="B310" s="4" t="str">
        <f t="shared" si="36"/>
        <v>AIPL</v>
      </c>
      <c r="C310" s="4" t="str">
        <f>VLOOKUP($A310,Questions!$A$3:$L$333,2,0)&amp;""</f>
        <v>Are your AI developer's policies, processes, procedures, and practices across the organization related to the mapping, measuring, and managing of AI risks conspicuously posted, unambiguous, and implemented effectively?*</v>
      </c>
      <c r="D310" s="4" t="str">
        <f>VLOOKUP($A310,Questions!$A$3:$L$333,11,0)&amp;""</f>
        <v/>
      </c>
      <c r="E310" s="4" t="str">
        <f>VLOOKUP($A310,Questions!$A$3:$L$333,12,0)&amp;""</f>
        <v>AI</v>
      </c>
      <c r="F310" s="4" t="str">
        <f>VLOOKUP($A310,'Institution Evaluation'!$A$56:$K$345,3,0)&amp;""</f>
        <v>No</v>
      </c>
      <c r="G310" s="4" t="str">
        <f>VLOOKUP($A310,'Institution Evaluation'!$A$56:$K$345,7,0)&amp;""</f>
        <v>Yes</v>
      </c>
      <c r="H310" s="4" t="str">
        <f>VLOOKUP($A310,'Institution Evaluation'!$A$56:$K$345,8,0)&amp;""</f>
        <v/>
      </c>
      <c r="I310" s="4" t="str">
        <f>VLOOKUP($A310,'Institution Evaluation'!$A$56:$K$345,9,0)&amp;""</f>
        <v>Critical Importance</v>
      </c>
      <c r="J310" s="4" t="str">
        <f>VLOOKUP($A310,'Institution Evaluation'!$A$56:$K$345,10,0)&amp;""</f>
        <v/>
      </c>
      <c r="K310" s="4">
        <f>IF($I310='Auto Responses'!$J$11,20,IF($I310='Auto Responses'!$J$13,5,10))</f>
        <v>20</v>
      </c>
      <c r="L310" s="107">
        <f>IF($E310='Auto Responses'!$L$13, 'Auto Responses'!$J$5,IF(AND($D310='Auto Responses'!$J$27,$H310=""),'Auto Responses'!$J$5,IF(AND($D310='Auto Responses'!$J$27,$H310='Auto Responses'!$J$7),1,IF(AND($D310='Auto Responses'!$J$27,$H310='Auto Responses'!$J$8),0,IF(OR(AND($F310=$G310,$H310=""),$H310='Auto Responses'!$J$7),1,0)))))</f>
        <v>0</v>
      </c>
      <c r="M310" s="4" t="str">
        <f>VLOOKUP($A310,'Institution Evaluation'!$A$56:$K$345,11,0)&amp;""</f>
        <v>FALSE</v>
      </c>
      <c r="N310" s="4">
        <f>IF($J310='Auto Responses'!$J$11,1,IF(AND($J310="",$I310='Auto Responses'!$J$11),1,0))</f>
        <v>1</v>
      </c>
      <c r="O310" s="107">
        <f>IF(OR($F$20='Auto Responses'!$J$4,$E310='Auto Responses'!$L$13,$F310='Auto Responses'!$J$5),'Auto Responses'!$J$5,IF($J310="",$K310,IF($J310='Auto Responses'!$J$13,5,IF($J310='Auto Responses'!$J$12,10,IF($J310='Auto Responses'!$J$11,20,0)))))</f>
        <v>20</v>
      </c>
      <c r="P310" s="107">
        <f>IF(OR($O310='Auto Responses'!$J$5,$L310='Auto Responses'!$J$5),'Auto Responses'!$J$5,$O310*$L310)</f>
        <v>0</v>
      </c>
      <c r="Q310" s="107">
        <f t="shared" si="32"/>
        <v>0</v>
      </c>
      <c r="R310" s="107">
        <f t="shared" si="37"/>
        <v>0</v>
      </c>
      <c r="S310" s="107">
        <f t="shared" si="33"/>
        <v>0</v>
      </c>
      <c r="T310" s="107">
        <f t="shared" si="34"/>
        <v>1</v>
      </c>
      <c r="U310" s="107">
        <f t="shared" si="38"/>
        <v>75</v>
      </c>
      <c r="V310" s="107">
        <f t="shared" si="35"/>
        <v>75</v>
      </c>
    </row>
    <row r="311" spans="1:22" ht="55.2" x14ac:dyDescent="0.3">
      <c r="A311" s="4" t="str">
        <f>Questions!$A311</f>
        <v>AIPL-02</v>
      </c>
      <c r="B311" s="4" t="str">
        <f t="shared" si="36"/>
        <v>AIPL</v>
      </c>
      <c r="C311" s="4" t="str">
        <f>VLOOKUP($A311,Questions!$A$3:$L$333,2,0)&amp;""</f>
        <v>Have you identified and measured AI risks?*</v>
      </c>
      <c r="D311" s="4" t="str">
        <f>VLOOKUP($A311,Questions!$A$3:$L$333,11,0)&amp;""</f>
        <v/>
      </c>
      <c r="E311" s="4" t="str">
        <f>VLOOKUP($A311,Questions!$A$3:$L$333,12,0)&amp;""</f>
        <v>AI</v>
      </c>
      <c r="F311" s="4" t="str">
        <f>VLOOKUP($A311,'Institution Evaluation'!$A$56:$K$345,3,0)&amp;""</f>
        <v>No</v>
      </c>
      <c r="G311" s="4" t="str">
        <f>VLOOKUP($A311,'Institution Evaluation'!$A$56:$K$345,7,0)&amp;""</f>
        <v>Yes</v>
      </c>
      <c r="H311" s="4" t="str">
        <f>VLOOKUP($A311,'Institution Evaluation'!$A$56:$K$345,8,0)&amp;""</f>
        <v/>
      </c>
      <c r="I311" s="4" t="str">
        <f>VLOOKUP($A311,'Institution Evaluation'!$A$56:$K$345,9,0)&amp;""</f>
        <v>Critical Importance</v>
      </c>
      <c r="J311" s="4" t="str">
        <f>VLOOKUP($A311,'Institution Evaluation'!$A$56:$K$345,10,0)&amp;""</f>
        <v/>
      </c>
      <c r="K311" s="4">
        <f>IF($I311='Auto Responses'!$J$11,20,IF($I311='Auto Responses'!$J$13,5,10))</f>
        <v>20</v>
      </c>
      <c r="L311" s="107">
        <f>IF($E311='Auto Responses'!$L$13, 'Auto Responses'!$J$5,IF(AND($D311='Auto Responses'!$J$27,$H311=""),'Auto Responses'!$J$5,IF(AND($D311='Auto Responses'!$J$27,$H311='Auto Responses'!$J$7),1,IF(AND($D311='Auto Responses'!$J$27,$H311='Auto Responses'!$J$8),0,IF(OR(AND($F311=$G311,$H311=""),$H311='Auto Responses'!$J$7),1,0)))))</f>
        <v>0</v>
      </c>
      <c r="M311" s="4" t="str">
        <f>VLOOKUP($A311,'Institution Evaluation'!$A$56:$K$345,11,0)&amp;""</f>
        <v>FALSE</v>
      </c>
      <c r="N311" s="4">
        <f>IF($J311='Auto Responses'!$J$11,1,IF(AND($J311="",$I311='Auto Responses'!$J$11),1,0))</f>
        <v>1</v>
      </c>
      <c r="O311" s="107">
        <f>IF(OR($F$20='Auto Responses'!$J$4,$E311='Auto Responses'!$L$13,$F311='Auto Responses'!$J$5),'Auto Responses'!$J$5,IF($J311="",$K311,IF($J311='Auto Responses'!$J$13,5,IF($J311='Auto Responses'!$J$12,10,IF($J311='Auto Responses'!$J$11,20,0)))))</f>
        <v>20</v>
      </c>
      <c r="P311" s="107">
        <f>IF(OR($O311='Auto Responses'!$J$5,$L311='Auto Responses'!$J$5),'Auto Responses'!$J$5,$O311*$L311)</f>
        <v>0</v>
      </c>
      <c r="Q311" s="107">
        <f t="shared" si="32"/>
        <v>0</v>
      </c>
      <c r="R311" s="107">
        <f t="shared" si="37"/>
        <v>0</v>
      </c>
      <c r="S311" s="107">
        <f t="shared" si="33"/>
        <v>0</v>
      </c>
      <c r="T311" s="107">
        <f t="shared" si="34"/>
        <v>1</v>
      </c>
      <c r="U311" s="107">
        <f t="shared" si="38"/>
        <v>76</v>
      </c>
      <c r="V311" s="107">
        <f t="shared" si="35"/>
        <v>76</v>
      </c>
    </row>
    <row r="312" spans="1:22" ht="55.2" x14ac:dyDescent="0.3">
      <c r="A312" s="4" t="str">
        <f>Questions!$A312</f>
        <v>AIPL-03</v>
      </c>
      <c r="B312" s="4" t="str">
        <f t="shared" si="36"/>
        <v>AIPL</v>
      </c>
      <c r="C312" s="4" t="str">
        <f>VLOOKUP($A312,Questions!$A$3:$L$333,2,0)&amp;""</f>
        <v>In the event of an incident, can your solution's AI features be disabled in a timely manner?*</v>
      </c>
      <c r="D312" s="4" t="str">
        <f>VLOOKUP($A312,Questions!$A$3:$L$333,11,0)&amp;""</f>
        <v/>
      </c>
      <c r="E312" s="4" t="str">
        <f>VLOOKUP($A312,Questions!$A$3:$L$333,12,0)&amp;""</f>
        <v>AI</v>
      </c>
      <c r="F312" s="4" t="str">
        <f>VLOOKUP($A312,'Institution Evaluation'!$A$56:$K$345,3,0)&amp;""</f>
        <v>Yes</v>
      </c>
      <c r="G312" s="4" t="str">
        <f>VLOOKUP($A312,'Institution Evaluation'!$A$56:$K$345,7,0)&amp;""</f>
        <v>Yes</v>
      </c>
      <c r="H312" s="4" t="str">
        <f>VLOOKUP($A312,'Institution Evaluation'!$A$56:$K$345,8,0)&amp;""</f>
        <v/>
      </c>
      <c r="I312" s="4" t="str">
        <f>VLOOKUP($A312,'Institution Evaluation'!$A$56:$K$345,9,0)&amp;""</f>
        <v>Critical Importance</v>
      </c>
      <c r="J312" s="4" t="str">
        <f>VLOOKUP($A312,'Institution Evaluation'!$A$56:$K$345,10,0)&amp;""</f>
        <v/>
      </c>
      <c r="K312" s="4">
        <f>IF($I312='Auto Responses'!$J$11,20,IF($I312='Auto Responses'!$J$13,5,10))</f>
        <v>20</v>
      </c>
      <c r="L312" s="107">
        <f>IF($E312='Auto Responses'!$L$13, 'Auto Responses'!$J$5,IF(AND($D312='Auto Responses'!$J$27,$H312=""),'Auto Responses'!$J$5,IF(AND($D312='Auto Responses'!$J$27,$H312='Auto Responses'!$J$7),1,IF(AND($D312='Auto Responses'!$J$27,$H312='Auto Responses'!$J$8),0,IF(OR(AND($F312=$G312,$H312=""),$H312='Auto Responses'!$J$7),1,0)))))</f>
        <v>1</v>
      </c>
      <c r="M312" s="4" t="str">
        <f>VLOOKUP($A312,'Institution Evaluation'!$A$56:$K$345,11,0)&amp;""</f>
        <v>FALSE</v>
      </c>
      <c r="N312" s="4">
        <f>IF($J312='Auto Responses'!$J$11,1,IF(AND($J312="",$I312='Auto Responses'!$J$11),1,0))</f>
        <v>1</v>
      </c>
      <c r="O312" s="107">
        <f>IF(OR($F$20='Auto Responses'!$J$4,$E312='Auto Responses'!$L$13,$F312='Auto Responses'!$J$5),'Auto Responses'!$J$5,IF($J312="",$K312,IF($J312='Auto Responses'!$J$13,5,IF($J312='Auto Responses'!$J$12,10,IF($J312='Auto Responses'!$J$11,20,0)))))</f>
        <v>20</v>
      </c>
      <c r="P312" s="107">
        <f>IF(OR($O312='Auto Responses'!$J$5,$L312='Auto Responses'!$J$5),'Auto Responses'!$J$5,$O312*$L312)</f>
        <v>20</v>
      </c>
      <c r="Q312" s="107">
        <f t="shared" si="32"/>
        <v>0</v>
      </c>
      <c r="R312" s="107">
        <f t="shared" si="37"/>
        <v>0</v>
      </c>
      <c r="S312" s="107">
        <f t="shared" si="33"/>
        <v>0</v>
      </c>
      <c r="T312" s="107">
        <f t="shared" si="34"/>
        <v>1</v>
      </c>
      <c r="U312" s="107">
        <f t="shared" si="38"/>
        <v>77</v>
      </c>
      <c r="V312" s="107">
        <f t="shared" si="35"/>
        <v>77</v>
      </c>
    </row>
    <row r="313" spans="1:22" ht="55.2" x14ac:dyDescent="0.3">
      <c r="A313" s="4" t="str">
        <f>Questions!$A313</f>
        <v>AIPL-04</v>
      </c>
      <c r="B313" s="4" t="str">
        <f t="shared" si="36"/>
        <v>AIPL</v>
      </c>
      <c r="C313" s="4" t="str">
        <f>VLOOKUP($A313,Questions!$A$3:$L$333,2,0)&amp;""</f>
        <v>If disabled because of an incident, can your solution's AI features be re-enabled in a timely manner?*</v>
      </c>
      <c r="D313" s="4" t="str">
        <f>VLOOKUP($A313,Questions!$A$3:$L$333,11,0)&amp;""</f>
        <v/>
      </c>
      <c r="E313" s="4" t="str">
        <f>VLOOKUP($A313,Questions!$A$3:$L$333,12,0)&amp;""</f>
        <v>AI</v>
      </c>
      <c r="F313" s="4" t="str">
        <f>VLOOKUP($A313,'Institution Evaluation'!$A$56:$K$345,3,0)&amp;""</f>
        <v>Yes</v>
      </c>
      <c r="G313" s="4" t="str">
        <f>VLOOKUP($A313,'Institution Evaluation'!$A$56:$K$345,7,0)&amp;""</f>
        <v>Yes</v>
      </c>
      <c r="H313" s="4" t="str">
        <f>VLOOKUP($A313,'Institution Evaluation'!$A$56:$K$345,8,0)&amp;""</f>
        <v/>
      </c>
      <c r="I313" s="4" t="str">
        <f>VLOOKUP($A313,'Institution Evaluation'!$A$56:$K$345,9,0)&amp;""</f>
        <v>Critical Importance</v>
      </c>
      <c r="J313" s="4" t="str">
        <f>VLOOKUP($A313,'Institution Evaluation'!$A$56:$K$345,10,0)&amp;""</f>
        <v/>
      </c>
      <c r="K313" s="4">
        <f>IF($I313='Auto Responses'!$J$11,20,IF($I313='Auto Responses'!$J$13,5,10))</f>
        <v>20</v>
      </c>
      <c r="L313" s="107">
        <f>IF($E313='Auto Responses'!$L$13, 'Auto Responses'!$J$5,IF(AND($D313='Auto Responses'!$J$27,$H313=""),'Auto Responses'!$J$5,IF(AND($D313='Auto Responses'!$J$27,$H313='Auto Responses'!$J$7),1,IF(AND($D313='Auto Responses'!$J$27,$H313='Auto Responses'!$J$8),0,IF(OR(AND($F313=$G313,$H313=""),$H313='Auto Responses'!$J$7),1,0)))))</f>
        <v>1</v>
      </c>
      <c r="M313" s="4" t="str">
        <f>VLOOKUP($A313,'Institution Evaluation'!$A$56:$K$345,11,0)&amp;""</f>
        <v>FALSE</v>
      </c>
      <c r="N313" s="4">
        <f>IF($J313='Auto Responses'!$J$11,1,IF(AND($J313="",$I313='Auto Responses'!$J$11),1,0))</f>
        <v>1</v>
      </c>
      <c r="O313" s="107">
        <f>IF(OR($F$20='Auto Responses'!$J$4,$E313='Auto Responses'!$L$13,$F313='Auto Responses'!$J$5),'Auto Responses'!$J$5,IF($J313="",$K313,IF($J313='Auto Responses'!$J$13,5,IF($J313='Auto Responses'!$J$12,10,IF($J313='Auto Responses'!$J$11,20,0)))))</f>
        <v>20</v>
      </c>
      <c r="P313" s="107">
        <f>IF(OR($O313='Auto Responses'!$J$5,$L313='Auto Responses'!$J$5),'Auto Responses'!$J$5,$O313*$L313)</f>
        <v>20</v>
      </c>
      <c r="Q313" s="107">
        <f t="shared" si="32"/>
        <v>0</v>
      </c>
      <c r="R313" s="107">
        <f t="shared" si="37"/>
        <v>0</v>
      </c>
      <c r="S313" s="107">
        <f t="shared" si="33"/>
        <v>0</v>
      </c>
      <c r="T313" s="107">
        <f t="shared" si="34"/>
        <v>1</v>
      </c>
      <c r="U313" s="107">
        <f t="shared" si="38"/>
        <v>78</v>
      </c>
      <c r="V313" s="107">
        <f t="shared" si="35"/>
        <v>78</v>
      </c>
    </row>
    <row r="314" spans="1:22" ht="55.2" x14ac:dyDescent="0.3">
      <c r="A314" s="4" t="str">
        <f>Questions!$A314</f>
        <v>AIPL-05</v>
      </c>
      <c r="B314" s="4" t="str">
        <f t="shared" si="36"/>
        <v>AIPL</v>
      </c>
      <c r="C314" s="4" t="str">
        <f>VLOOKUP($A314,Questions!$A$3:$L$333,2,0)&amp;""</f>
        <v>Do you have documented technical and procedural processes to address potential negative impacts of AI as described by the AI Risk Management Framework (RMF)?</v>
      </c>
      <c r="D314" s="4" t="str">
        <f>VLOOKUP($A314,Questions!$A$3:$L$333,11,0)&amp;""</f>
        <v/>
      </c>
      <c r="E314" s="4" t="str">
        <f>VLOOKUP($A314,Questions!$A$3:$L$333,12,0)&amp;""</f>
        <v>AI</v>
      </c>
      <c r="F314" s="4" t="str">
        <f>VLOOKUP($A314,'Institution Evaluation'!$A$56:$K$345,3,0)&amp;""</f>
        <v>No</v>
      </c>
      <c r="G314" s="4" t="str">
        <f>VLOOKUP($A314,'Institution Evaluation'!$A$56:$K$345,7,0)&amp;""</f>
        <v>Yes</v>
      </c>
      <c r="H314" s="4" t="str">
        <f>VLOOKUP($A314,'Institution Evaluation'!$A$56:$K$345,8,0)&amp;""</f>
        <v/>
      </c>
      <c r="I314" s="4" t="str">
        <f>VLOOKUP($A314,'Institution Evaluation'!$A$56:$K$345,9,0)&amp;""</f>
        <v>Minor Importance</v>
      </c>
      <c r="J314" s="4" t="str">
        <f>VLOOKUP($A314,'Institution Evaluation'!$A$56:$K$345,10,0)&amp;""</f>
        <v/>
      </c>
      <c r="K314" s="4">
        <f>IF($I314='Auto Responses'!$J$11,20,IF($I314='Auto Responses'!$J$13,5,10))</f>
        <v>5</v>
      </c>
      <c r="L314" s="107">
        <f>IF($E314='Auto Responses'!$L$13, 'Auto Responses'!$J$5,IF(AND($D314='Auto Responses'!$J$27,$H314=""),'Auto Responses'!$J$5,IF(AND($D314='Auto Responses'!$J$27,$H314='Auto Responses'!$J$7),1,IF(AND($D314='Auto Responses'!$J$27,$H314='Auto Responses'!$J$8),0,IF(OR(AND($F314=$G314,$H314=""),$H314='Auto Responses'!$J$7),1,0)))))</f>
        <v>0</v>
      </c>
      <c r="M314" s="4" t="str">
        <f>VLOOKUP($A314,'Institution Evaluation'!$A$56:$K$345,11,0)&amp;""</f>
        <v>FALSE</v>
      </c>
      <c r="N314" s="4">
        <f>IF($J314='Auto Responses'!$J$11,1,IF(AND($J314="",$I314='Auto Responses'!$J$11),1,0))</f>
        <v>0</v>
      </c>
      <c r="O314" s="107">
        <f>IF(OR($F$20='Auto Responses'!$J$4,$E314='Auto Responses'!$L$13,$F314='Auto Responses'!$J$5),'Auto Responses'!$J$5,IF($J314="",$K314,IF($J314='Auto Responses'!$J$13,5,IF($J314='Auto Responses'!$J$12,10,IF($J314='Auto Responses'!$J$11,20,0)))))</f>
        <v>5</v>
      </c>
      <c r="P314" s="107">
        <f>IF(OR($O314='Auto Responses'!$J$5,$L314='Auto Responses'!$J$5),'Auto Responses'!$J$5,$O314*$L314)</f>
        <v>0</v>
      </c>
      <c r="Q314" s="107">
        <f t="shared" si="32"/>
        <v>0</v>
      </c>
      <c r="R314" s="107">
        <f t="shared" si="37"/>
        <v>0</v>
      </c>
      <c r="S314" s="107">
        <f t="shared" si="33"/>
        <v>0</v>
      </c>
      <c r="T314" s="107">
        <f t="shared" si="34"/>
        <v>0</v>
      </c>
      <c r="U314" s="107">
        <f t="shared" si="38"/>
        <v>78</v>
      </c>
      <c r="V314" s="107">
        <f t="shared" si="35"/>
        <v>0</v>
      </c>
    </row>
    <row r="315" spans="1:22" ht="55.2" x14ac:dyDescent="0.3">
      <c r="A315" s="4" t="str">
        <f>Questions!$A315</f>
        <v>AISC-01</v>
      </c>
      <c r="B315" s="4" t="str">
        <f t="shared" si="36"/>
        <v>AISC</v>
      </c>
      <c r="C315" s="4" t="str">
        <f>VLOOKUP($A315,Questions!$A$3:$L$333,2,0)&amp;""</f>
        <v>If sensitive data is introduced to your solution's AI model, can the data be removed from the AI model by request?*</v>
      </c>
      <c r="D315" s="4" t="str">
        <f>VLOOKUP($A315,Questions!$A$3:$L$333,11,0)&amp;""</f>
        <v/>
      </c>
      <c r="E315" s="4" t="str">
        <f>VLOOKUP($A315,Questions!$A$3:$L$333,12,0)&amp;""</f>
        <v>AI</v>
      </c>
      <c r="F315" s="4" t="str">
        <f>VLOOKUP($A315,'Institution Evaluation'!$A$56:$K$345,3,0)&amp;""</f>
        <v>No</v>
      </c>
      <c r="G315" s="4" t="str">
        <f>VLOOKUP($A315,'Institution Evaluation'!$A$56:$K$345,7,0)&amp;""</f>
        <v>Yes</v>
      </c>
      <c r="H315" s="4" t="str">
        <f>VLOOKUP($A315,'Institution Evaluation'!$A$56:$K$345,8,0)&amp;""</f>
        <v/>
      </c>
      <c r="I315" s="4" t="str">
        <f>VLOOKUP($A315,'Institution Evaluation'!$A$56:$K$345,9,0)&amp;""</f>
        <v>Critical Importance</v>
      </c>
      <c r="J315" s="4" t="str">
        <f>VLOOKUP($A315,'Institution Evaluation'!$A$56:$K$345,10,0)&amp;""</f>
        <v/>
      </c>
      <c r="K315" s="4">
        <f>IF($I315='Auto Responses'!$J$11,20,IF($I315='Auto Responses'!$J$13,5,10))</f>
        <v>20</v>
      </c>
      <c r="L315" s="107">
        <f>IF($E315='Auto Responses'!$L$13, 'Auto Responses'!$J$5,IF(AND($D315='Auto Responses'!$J$27,$H315=""),'Auto Responses'!$J$5,IF(AND($D315='Auto Responses'!$J$27,$H315='Auto Responses'!$J$7),1,IF(AND($D315='Auto Responses'!$J$27,$H315='Auto Responses'!$J$8),0,IF(OR(AND($F315=$G315,$H315=""),$H315='Auto Responses'!$J$7),1,0)))))</f>
        <v>0</v>
      </c>
      <c r="M315" s="4" t="str">
        <f>VLOOKUP($A315,'Institution Evaluation'!$A$56:$K$345,11,0)&amp;""</f>
        <v>FALSE</v>
      </c>
      <c r="N315" s="4">
        <f>IF($J315='Auto Responses'!$J$11,1,IF(AND($J315="",$I315='Auto Responses'!$J$11),1,0))</f>
        <v>1</v>
      </c>
      <c r="O315" s="107">
        <f>IF(OR($F$20='Auto Responses'!$J$4,$E315='Auto Responses'!$L$13,$F315='Auto Responses'!$J$5),'Auto Responses'!$J$5,IF($J315="",$K315,IF($J315='Auto Responses'!$J$13,5,IF($J315='Auto Responses'!$J$12,10,IF($J315='Auto Responses'!$J$11,20,0)))))</f>
        <v>20</v>
      </c>
      <c r="P315" s="107">
        <f>IF(OR($O315='Auto Responses'!$J$5,$L315='Auto Responses'!$J$5),'Auto Responses'!$J$5,$O315*$L315)</f>
        <v>0</v>
      </c>
      <c r="Q315" s="107">
        <f t="shared" si="32"/>
        <v>0</v>
      </c>
      <c r="R315" s="107">
        <f t="shared" si="37"/>
        <v>0</v>
      </c>
      <c r="S315" s="107">
        <f t="shared" si="33"/>
        <v>0</v>
      </c>
      <c r="T315" s="107">
        <f t="shared" si="34"/>
        <v>1</v>
      </c>
      <c r="U315" s="107">
        <f t="shared" si="38"/>
        <v>79</v>
      </c>
      <c r="V315" s="107">
        <f t="shared" si="35"/>
        <v>79</v>
      </c>
    </row>
    <row r="316" spans="1:22" ht="55.2" x14ac:dyDescent="0.3">
      <c r="A316" s="4" t="str">
        <f>Questions!$A316</f>
        <v>AISC-02</v>
      </c>
      <c r="B316" s="4" t="str">
        <f t="shared" si="36"/>
        <v>AISC</v>
      </c>
      <c r="C316" s="4" t="str">
        <f>VLOOKUP($A316,Questions!$A$3:$L$333,2,0)&amp;""</f>
        <v>Is user input data used to influence your solution's AI model?*</v>
      </c>
      <c r="D316" s="4" t="str">
        <f>VLOOKUP($A316,Questions!$A$3:$L$333,11,0)&amp;""</f>
        <v/>
      </c>
      <c r="E316" s="4" t="str">
        <f>VLOOKUP($A316,Questions!$A$3:$L$333,12,0)&amp;""</f>
        <v>AI</v>
      </c>
      <c r="F316" s="4" t="str">
        <f>VLOOKUP($A316,'Institution Evaluation'!$A$56:$K$345,3,0)&amp;""</f>
        <v>No</v>
      </c>
      <c r="G316" s="4" t="str">
        <f>VLOOKUP($A316,'Institution Evaluation'!$A$56:$K$345,7,0)&amp;""</f>
        <v>No</v>
      </c>
      <c r="H316" s="4" t="str">
        <f>VLOOKUP($A316,'Institution Evaluation'!$A$56:$K$345,8,0)&amp;""</f>
        <v/>
      </c>
      <c r="I316" s="4" t="str">
        <f>VLOOKUP($A316,'Institution Evaluation'!$A$56:$K$345,9,0)&amp;""</f>
        <v>Critical Importance</v>
      </c>
      <c r="J316" s="4" t="str">
        <f>VLOOKUP($A316,'Institution Evaluation'!$A$56:$K$345,10,0)&amp;""</f>
        <v/>
      </c>
      <c r="K316" s="4">
        <f>IF($I316='Auto Responses'!$J$11,20,IF($I316='Auto Responses'!$J$13,5,10))</f>
        <v>20</v>
      </c>
      <c r="L316" s="107">
        <f>IF($E316='Auto Responses'!$L$13, 'Auto Responses'!$J$5,IF(AND($D316='Auto Responses'!$J$27,$H316=""),'Auto Responses'!$J$5,IF(AND($D316='Auto Responses'!$J$27,$H316='Auto Responses'!$J$7),1,IF(AND($D316='Auto Responses'!$J$27,$H316='Auto Responses'!$J$8),0,IF(OR(AND($F316=$G316,$H316=""),$H316='Auto Responses'!$J$7),1,0)))))</f>
        <v>1</v>
      </c>
      <c r="M316" s="4" t="str">
        <f>VLOOKUP($A316,'Institution Evaluation'!$A$56:$K$345,11,0)&amp;""</f>
        <v>FALSE</v>
      </c>
      <c r="N316" s="4">
        <f>IF($J316='Auto Responses'!$J$11,1,IF(AND($J316="",$I316='Auto Responses'!$J$11),1,0))</f>
        <v>1</v>
      </c>
      <c r="O316" s="107">
        <f>IF(OR($F$20='Auto Responses'!$J$4,$E316='Auto Responses'!$L$13,$F316='Auto Responses'!$J$5),'Auto Responses'!$J$5,IF($J316="",$K316,IF($J316='Auto Responses'!$J$13,5,IF($J316='Auto Responses'!$J$12,10,IF($J316='Auto Responses'!$J$11,20,0)))))</f>
        <v>20</v>
      </c>
      <c r="P316" s="107">
        <f>IF(OR($O316='Auto Responses'!$J$5,$L316='Auto Responses'!$J$5),'Auto Responses'!$J$5,$O316*$L316)</f>
        <v>20</v>
      </c>
      <c r="Q316" s="107">
        <f t="shared" si="32"/>
        <v>0</v>
      </c>
      <c r="R316" s="107">
        <f t="shared" si="37"/>
        <v>0</v>
      </c>
      <c r="S316" s="107">
        <f t="shared" si="33"/>
        <v>0</v>
      </c>
      <c r="T316" s="107">
        <f t="shared" si="34"/>
        <v>1</v>
      </c>
      <c r="U316" s="107">
        <f t="shared" si="38"/>
        <v>80</v>
      </c>
      <c r="V316" s="107">
        <f t="shared" si="35"/>
        <v>80</v>
      </c>
    </row>
    <row r="317" spans="1:22" ht="55.2" x14ac:dyDescent="0.3">
      <c r="A317" s="4" t="str">
        <f>Questions!$A317</f>
        <v>AISC-03</v>
      </c>
      <c r="B317" s="4" t="str">
        <f t="shared" si="36"/>
        <v>AISC</v>
      </c>
      <c r="C317" s="4" t="str">
        <f>VLOOKUP($A317,Questions!$A$3:$L$333,2,0)&amp;""</f>
        <v>Do you provide logging for your solution's AI feature(s) that includes user, date, and action taken?*</v>
      </c>
      <c r="D317" s="4" t="str">
        <f>VLOOKUP($A317,Questions!$A$3:$L$333,11,0)&amp;""</f>
        <v/>
      </c>
      <c r="E317" s="4" t="str">
        <f>VLOOKUP($A317,Questions!$A$3:$L$333,12,0)&amp;""</f>
        <v>AI</v>
      </c>
      <c r="F317" s="4" t="str">
        <f>VLOOKUP($A317,'Institution Evaluation'!$A$56:$K$345,3,0)&amp;""</f>
        <v>Yes</v>
      </c>
      <c r="G317" s="4" t="str">
        <f>VLOOKUP($A317,'Institution Evaluation'!$A$56:$K$345,7,0)&amp;""</f>
        <v>Yes</v>
      </c>
      <c r="H317" s="4" t="str">
        <f>VLOOKUP($A317,'Institution Evaluation'!$A$56:$K$345,8,0)&amp;""</f>
        <v/>
      </c>
      <c r="I317" s="4" t="str">
        <f>VLOOKUP($A317,'Institution Evaluation'!$A$56:$K$345,9,0)&amp;""</f>
        <v>Critical Importance</v>
      </c>
      <c r="J317" s="4" t="str">
        <f>VLOOKUP($A317,'Institution Evaluation'!$A$56:$K$345,10,0)&amp;""</f>
        <v/>
      </c>
      <c r="K317" s="4">
        <f>IF($I317='Auto Responses'!$J$11,20,IF($I317='Auto Responses'!$J$13,5,10))</f>
        <v>20</v>
      </c>
      <c r="L317" s="107">
        <f>IF($E317='Auto Responses'!$L$13, 'Auto Responses'!$J$5,IF(AND($D317='Auto Responses'!$J$27,$H317=""),'Auto Responses'!$J$5,IF(AND($D317='Auto Responses'!$J$27,$H317='Auto Responses'!$J$7),1,IF(AND($D317='Auto Responses'!$J$27,$H317='Auto Responses'!$J$8),0,IF(OR(AND($F317=$G317,$H317=""),$H317='Auto Responses'!$J$7),1,0)))))</f>
        <v>1</v>
      </c>
      <c r="M317" s="4" t="str">
        <f>VLOOKUP($A317,'Institution Evaluation'!$A$56:$K$345,11,0)&amp;""</f>
        <v>FALSE</v>
      </c>
      <c r="N317" s="4">
        <f>IF($J317='Auto Responses'!$J$11,1,IF(AND($J317="",$I317='Auto Responses'!$J$11),1,0))</f>
        <v>1</v>
      </c>
      <c r="O317" s="107">
        <f>IF(OR($F$20='Auto Responses'!$J$4,$E317='Auto Responses'!$L$13,$F317='Auto Responses'!$J$5),'Auto Responses'!$J$5,IF($J317="",$K317,IF($J317='Auto Responses'!$J$13,5,IF($J317='Auto Responses'!$J$12,10,IF($J317='Auto Responses'!$J$11,20,0)))))</f>
        <v>20</v>
      </c>
      <c r="P317" s="107">
        <f>IF(OR($O317='Auto Responses'!$J$5,$L317='Auto Responses'!$J$5),'Auto Responses'!$J$5,$O317*$L317)</f>
        <v>20</v>
      </c>
      <c r="Q317" s="107">
        <f t="shared" ref="Q317:Q333" si="39">IF(M317="TRUE",1,0)</f>
        <v>0</v>
      </c>
      <c r="R317" s="107">
        <f t="shared" si="37"/>
        <v>0</v>
      </c>
      <c r="S317" s="107">
        <f t="shared" ref="S317:S333" si="40">IF(Q317=0,0,R317)</f>
        <v>0</v>
      </c>
      <c r="T317" s="107">
        <f t="shared" ref="T317:T333" si="41">IF(N317=1,1,0)</f>
        <v>1</v>
      </c>
      <c r="U317" s="107">
        <f t="shared" si="38"/>
        <v>81</v>
      </c>
      <c r="V317" s="107">
        <f t="shared" ref="V317:V333" si="42">IF(T317=0,0,U317)</f>
        <v>81</v>
      </c>
    </row>
    <row r="318" spans="1:22" ht="409.6" x14ac:dyDescent="0.3">
      <c r="A318" s="4" t="str">
        <f>Questions!$A318</f>
        <v>AISC-04</v>
      </c>
      <c r="B318" s="4" t="str">
        <f t="shared" ref="B318:B333" si="43">LEFT(A318,4)</f>
        <v>AISC</v>
      </c>
      <c r="C318" s="4" t="str">
        <f>VLOOKUP($A318,Questions!$A$3:$L$333,2,0)&amp;""</f>
        <v>Please describe how you validate user inputs.</v>
      </c>
      <c r="D318" s="4" t="str">
        <f>VLOOKUP($A318,Questions!$A$3:$L$333,11,0)&amp;""</f>
        <v/>
      </c>
      <c r="E318" s="4" t="str">
        <f>VLOOKUP($A318,Questions!$A$3:$L$333,12,0)&amp;""</f>
        <v>Not scored</v>
      </c>
      <c r="F318" s="4" t="str">
        <f>VLOOKUP($A318,'Institution Evaluation'!$A$56:$K$345,3,0)&amp;""</f>
        <v xml:space="preserve">All inputs to the AI inference pipeline are validated through multiple layers: (1) Schema validation — inputs are formatted as structured JSON conforming to a strict schema; requests outside the schema are rejected before processing. (2) Origin attestation — requests must include valid LMS-issued tokens or webservice provider key fingerprints; requests without valid attestation are rejected at the API gateway and never reach the model. (3) Rate limiting — inference endpoints are rate-limited per institution and per UUID to prevent abuse. (4) Constrained input feature space — only specific writing process telemetry feature types are accepted (keystroke timing, canvas activity, paste events, final text); arbitrary fields, free-form prompts, or out-of-schema content are rejected. (5) HMAC-signed UUID tokens — the QR proof-of-authorship system uses HMAC-signed tokens that authenticate the source of authorship-related requests. Together, these controls prevent unauthorized data from being uploaded to or processed by the AI pipeline.
</v>
      </c>
      <c r="G318" s="4" t="str">
        <f>VLOOKUP($A318,'Institution Evaluation'!$A$56:$K$345,7,0)&amp;""</f>
        <v>Not scored</v>
      </c>
      <c r="H318" s="4" t="str">
        <f>VLOOKUP($A318,'Institution Evaluation'!$A$56:$K$345,8,0)&amp;""</f>
        <v/>
      </c>
      <c r="I318" s="4" t="str">
        <f>VLOOKUP($A318,'Institution Evaluation'!$A$56:$K$345,9,0)&amp;""</f>
        <v/>
      </c>
      <c r="J318" s="4" t="str">
        <f>VLOOKUP($A318,'Institution Evaluation'!$A$56:$K$345,10,0)&amp;""</f>
        <v/>
      </c>
      <c r="K318" s="4">
        <f>IF($I318='Auto Responses'!$J$11,20,IF($I318='Auto Responses'!$J$13,5,10))</f>
        <v>10</v>
      </c>
      <c r="L318" s="107" t="str">
        <f>IF($E318='Auto Responses'!$L$13, 'Auto Responses'!$J$5,IF(AND($D318='Auto Responses'!$J$27,$H318=""),'Auto Responses'!$J$5,IF(AND($D318='Auto Responses'!$J$27,$H318='Auto Responses'!$J$7),1,IF(AND($D318='Auto Responses'!$J$27,$H318='Auto Responses'!$J$8),0,IF(OR(AND($F318=$G318,$H318=""),$H318='Auto Responses'!$J$7),1,0)))))</f>
        <v>N/A</v>
      </c>
      <c r="M318" s="4" t="str">
        <f>VLOOKUP($A318,'Institution Evaluation'!$A$56:$K$345,11,0)&amp;""</f>
        <v>FALSE</v>
      </c>
      <c r="N318" s="4">
        <f>IF($J318='Auto Responses'!$J$11,1,IF(AND($J318="",$I318='Auto Responses'!$J$11),1,0))</f>
        <v>0</v>
      </c>
      <c r="O318" s="107" t="str">
        <f>IF(OR($F$20='Auto Responses'!$J$4,$E318='Auto Responses'!$L$13,$F318='Auto Responses'!$J$5),'Auto Responses'!$J$5,IF($J318="",$K318,IF($J318='Auto Responses'!$J$13,5,IF($J318='Auto Responses'!$J$12,10,IF($J318='Auto Responses'!$J$11,20,0)))))</f>
        <v>N/A</v>
      </c>
      <c r="P318" s="107" t="str">
        <f>IF(OR($O318='Auto Responses'!$J$5,$L318='Auto Responses'!$J$5),'Auto Responses'!$J$5,$O318*$L318)</f>
        <v>N/A</v>
      </c>
      <c r="Q318" s="107">
        <f t="shared" si="39"/>
        <v>0</v>
      </c>
      <c r="R318" s="107">
        <f t="shared" si="37"/>
        <v>0</v>
      </c>
      <c r="S318" s="107">
        <f t="shared" si="40"/>
        <v>0</v>
      </c>
      <c r="T318" s="107">
        <f t="shared" si="41"/>
        <v>0</v>
      </c>
      <c r="U318" s="107">
        <f t="shared" si="38"/>
        <v>81</v>
      </c>
      <c r="V318" s="107">
        <f t="shared" si="42"/>
        <v>0</v>
      </c>
    </row>
    <row r="319" spans="1:22" ht="55.2" x14ac:dyDescent="0.3">
      <c r="A319" s="4" t="str">
        <f>Questions!$A319</f>
        <v>AISC-05</v>
      </c>
      <c r="B319" s="4" t="str">
        <f t="shared" si="43"/>
        <v>AISC</v>
      </c>
      <c r="C319" s="4" t="str">
        <f>VLOOKUP($A319,Questions!$A$3:$L$333,2,0)&amp;""</f>
        <v>Do you plan for and mitigate supply-chain risk related to your AI features?</v>
      </c>
      <c r="D319" s="4" t="str">
        <f>VLOOKUP($A319,Questions!$A$3:$L$333,11,0)&amp;""</f>
        <v/>
      </c>
      <c r="E319" s="4" t="str">
        <f>VLOOKUP($A319,Questions!$A$3:$L$333,12,0)&amp;""</f>
        <v>AI</v>
      </c>
      <c r="F319" s="4" t="str">
        <f>VLOOKUP($A319,'Institution Evaluation'!$A$56:$K$345,3,0)&amp;""</f>
        <v>Yes</v>
      </c>
      <c r="G319" s="4" t="str">
        <f>VLOOKUP($A319,'Institution Evaluation'!$A$56:$K$345,7,0)&amp;""</f>
        <v>Yes</v>
      </c>
      <c r="H319" s="4" t="str">
        <f>VLOOKUP($A319,'Institution Evaluation'!$A$56:$K$345,8,0)&amp;""</f>
        <v/>
      </c>
      <c r="I319" s="4" t="str">
        <f>VLOOKUP($A319,'Institution Evaluation'!$A$56:$K$345,9,0)&amp;""</f>
        <v>Standard Importance</v>
      </c>
      <c r="J319" s="4" t="str">
        <f>VLOOKUP($A319,'Institution Evaluation'!$A$56:$K$345,10,0)&amp;""</f>
        <v/>
      </c>
      <c r="K319" s="4">
        <f>IF($I319='Auto Responses'!$J$11,20,IF($I319='Auto Responses'!$J$13,5,10))</f>
        <v>10</v>
      </c>
      <c r="L319" s="107">
        <f>IF($E319='Auto Responses'!$L$13, 'Auto Responses'!$J$5,IF(AND($D319='Auto Responses'!$J$27,$H319=""),'Auto Responses'!$J$5,IF(AND($D319='Auto Responses'!$J$27,$H319='Auto Responses'!$J$7),1,IF(AND($D319='Auto Responses'!$J$27,$H319='Auto Responses'!$J$8),0,IF(OR(AND($F319=$G319,$H319=""),$H319='Auto Responses'!$J$7),1,0)))))</f>
        <v>1</v>
      </c>
      <c r="M319" s="4" t="str">
        <f>VLOOKUP($A319,'Institution Evaluation'!$A$56:$K$345,11,0)&amp;""</f>
        <v>FALSE</v>
      </c>
      <c r="N319" s="4">
        <f>IF($J319='Auto Responses'!$J$11,1,IF(AND($J319="",$I319='Auto Responses'!$J$11),1,0))</f>
        <v>0</v>
      </c>
      <c r="O319" s="107">
        <f>IF(OR($F$20='Auto Responses'!$J$4,$E319='Auto Responses'!$L$13,$F319='Auto Responses'!$J$5),'Auto Responses'!$J$5,IF($J319="",$K319,IF($J319='Auto Responses'!$J$13,5,IF($J319='Auto Responses'!$J$12,10,IF($J319='Auto Responses'!$J$11,20,0)))))</f>
        <v>10</v>
      </c>
      <c r="P319" s="107">
        <f>IF(OR($O319='Auto Responses'!$J$5,$L319='Auto Responses'!$J$5),'Auto Responses'!$J$5,$O319*$L319)</f>
        <v>10</v>
      </c>
      <c r="Q319" s="107">
        <f t="shared" si="39"/>
        <v>0</v>
      </c>
      <c r="R319" s="107">
        <f t="shared" si="37"/>
        <v>0</v>
      </c>
      <c r="S319" s="107">
        <f t="shared" si="40"/>
        <v>0</v>
      </c>
      <c r="T319" s="107">
        <f t="shared" si="41"/>
        <v>0</v>
      </c>
      <c r="U319" s="107">
        <f t="shared" si="38"/>
        <v>81</v>
      </c>
      <c r="V319" s="107">
        <f t="shared" si="42"/>
        <v>0</v>
      </c>
    </row>
    <row r="320" spans="1:22" ht="55.2" x14ac:dyDescent="0.3">
      <c r="A320" s="4" t="str">
        <f>Questions!$A320</f>
        <v>AIML-01</v>
      </c>
      <c r="B320" s="4" t="str">
        <f t="shared" si="43"/>
        <v>AIML</v>
      </c>
      <c r="C320" s="4" t="str">
        <f>VLOOKUP($A320,Questions!$A$3:$L$333,2,0)&amp;""</f>
        <v>Do you separate ML training data from your ML solution data?*</v>
      </c>
      <c r="D320" s="4" t="str">
        <f>VLOOKUP($A320,Questions!$A$3:$L$333,11,0)&amp;""</f>
        <v/>
      </c>
      <c r="E320" s="4" t="str">
        <f>VLOOKUP($A320,Questions!$A$3:$L$333,12,0)&amp;""</f>
        <v>AI</v>
      </c>
      <c r="F320" s="4" t="str">
        <f>VLOOKUP($A320,'Institution Evaluation'!$A$56:$K$345,3,0)&amp;""</f>
        <v>Yes</v>
      </c>
      <c r="G320" s="4" t="str">
        <f>VLOOKUP($A320,'Institution Evaluation'!$A$56:$K$345,7,0)&amp;""</f>
        <v>Yes</v>
      </c>
      <c r="H320" s="4" t="str">
        <f>VLOOKUP($A320,'Institution Evaluation'!$A$56:$K$345,8,0)&amp;""</f>
        <v/>
      </c>
      <c r="I320" s="4" t="str">
        <f>VLOOKUP($A320,'Institution Evaluation'!$A$56:$K$345,9,0)&amp;""</f>
        <v>Critical Importance</v>
      </c>
      <c r="J320" s="4" t="str">
        <f>VLOOKUP($A320,'Institution Evaluation'!$A$56:$K$345,10,0)&amp;""</f>
        <v/>
      </c>
      <c r="K320" s="4">
        <f>IF($I320='Auto Responses'!$J$11,20,IF($I320='Auto Responses'!$J$13,5,10))</f>
        <v>20</v>
      </c>
      <c r="L320" s="107">
        <f>IF($E320='Auto Responses'!$L$13, 'Auto Responses'!$J$5,IF(AND($D320='Auto Responses'!$J$27,$H320=""),'Auto Responses'!$J$5,IF(AND($D320='Auto Responses'!$J$27,$H320='Auto Responses'!$J$7),1,IF(AND($D320='Auto Responses'!$J$27,$H320='Auto Responses'!$J$8),0,IF(OR(AND($F320=$G320,$H320=""),$H320='Auto Responses'!$J$7),1,0)))))</f>
        <v>1</v>
      </c>
      <c r="M320" s="4" t="str">
        <f>VLOOKUP($A320,'Institution Evaluation'!$A$56:$K$345,11,0)&amp;""</f>
        <v>FALSE</v>
      </c>
      <c r="N320" s="4">
        <f>IF($J320='Auto Responses'!$J$11,1,IF(AND($J320="",$I320='Auto Responses'!$J$11),1,0))</f>
        <v>1</v>
      </c>
      <c r="O320" s="107">
        <f>IF(OR($F$20='Auto Responses'!$J$4,$F$303='Auto Responses'!$J$4,$E320='Auto Responses'!$L$13,$F320='Auto Responses'!$J$5),'Auto Responses'!$J$5,IF($J320="",$K320,IF($J320='Auto Responses'!$J$13,5,IF($J320='Auto Responses'!$J$12,10,IF($J320='Auto Responses'!$J$11,20,0)))))</f>
        <v>20</v>
      </c>
      <c r="P320" s="107">
        <f>IF(OR($O320='Auto Responses'!$J$5,$L320='Auto Responses'!$J$5),'Auto Responses'!$J$5,$O320*$L320)</f>
        <v>20</v>
      </c>
      <c r="Q320" s="107">
        <f t="shared" si="39"/>
        <v>0</v>
      </c>
      <c r="R320" s="107">
        <f t="shared" si="37"/>
        <v>0</v>
      </c>
      <c r="S320" s="107">
        <f t="shared" si="40"/>
        <v>0</v>
      </c>
      <c r="T320" s="107">
        <f t="shared" si="41"/>
        <v>1</v>
      </c>
      <c r="U320" s="107">
        <f t="shared" si="38"/>
        <v>82</v>
      </c>
      <c r="V320" s="107">
        <f t="shared" si="42"/>
        <v>82</v>
      </c>
    </row>
    <row r="321" spans="1:23" ht="55.2" x14ac:dyDescent="0.3">
      <c r="A321" s="4" t="str">
        <f>Questions!$A321</f>
        <v>AIML-02</v>
      </c>
      <c r="B321" s="4" t="str">
        <f t="shared" si="43"/>
        <v>AIML</v>
      </c>
      <c r="C321" s="4" t="str">
        <f>VLOOKUP($A321,Questions!$A$3:$L$333,2,0)&amp;""</f>
        <v>Do you authenticate and verify your ML model's feedback?*</v>
      </c>
      <c r="D321" s="4" t="str">
        <f>VLOOKUP($A321,Questions!$A$3:$L$333,11,0)&amp;""</f>
        <v/>
      </c>
      <c r="E321" s="4" t="str">
        <f>VLOOKUP($A321,Questions!$A$3:$L$333,12,0)&amp;""</f>
        <v>AI</v>
      </c>
      <c r="F321" s="4" t="str">
        <f>VLOOKUP($A321,'Institution Evaluation'!$A$56:$K$345,3,0)&amp;""</f>
        <v>Yes</v>
      </c>
      <c r="G321" s="4" t="str">
        <f>VLOOKUP($A321,'Institution Evaluation'!$A$56:$K$345,7,0)&amp;""</f>
        <v>Yes</v>
      </c>
      <c r="H321" s="4" t="str">
        <f>VLOOKUP($A321,'Institution Evaluation'!$A$56:$K$345,8,0)&amp;""</f>
        <v/>
      </c>
      <c r="I321" s="4" t="str">
        <f>VLOOKUP($A321,'Institution Evaluation'!$A$56:$K$345,9,0)&amp;""</f>
        <v>Critical Importance</v>
      </c>
      <c r="J321" s="4" t="str">
        <f>VLOOKUP($A321,'Institution Evaluation'!$A$56:$K$345,10,0)&amp;""</f>
        <v/>
      </c>
      <c r="K321" s="4">
        <f>IF($I321='Auto Responses'!$J$11,20,IF($I321='Auto Responses'!$J$13,5,10))</f>
        <v>20</v>
      </c>
      <c r="L321" s="107">
        <f>IF($E321='Auto Responses'!$L$13, 'Auto Responses'!$J$5,IF(AND($D321='Auto Responses'!$J$27,$H321=""),'Auto Responses'!$J$5,IF(AND($D321='Auto Responses'!$J$27,$H321='Auto Responses'!$J$7),1,IF(AND($D321='Auto Responses'!$J$27,$H321='Auto Responses'!$J$8),0,IF(OR(AND($F321=$G321,$H321=""),$H321='Auto Responses'!$J$7),1,0)))))</f>
        <v>1</v>
      </c>
      <c r="M321" s="4" t="str">
        <f>VLOOKUP($A321,'Institution Evaluation'!$A$56:$K$345,11,0)&amp;""</f>
        <v>FALSE</v>
      </c>
      <c r="N321" s="4">
        <f>IF($J321='Auto Responses'!$J$11,1,IF(AND($J321="",$I321='Auto Responses'!$J$11),1,0))</f>
        <v>1</v>
      </c>
      <c r="O321" s="107">
        <f>IF(OR($F$20='Auto Responses'!$J$4,$F$303='Auto Responses'!$J$4,$E321='Auto Responses'!$L$13,$F321='Auto Responses'!$J$5),'Auto Responses'!$J$5,IF($J321="",$K321,IF($J321='Auto Responses'!$J$13,5,IF($J321='Auto Responses'!$J$12,10,IF($J321='Auto Responses'!$J$11,20,0)))))</f>
        <v>20</v>
      </c>
      <c r="P321" s="107">
        <f>IF(OR($O321='Auto Responses'!$J$5,$L321='Auto Responses'!$J$5),'Auto Responses'!$J$5,$O321*$L321)</f>
        <v>20</v>
      </c>
      <c r="Q321" s="107">
        <f t="shared" si="39"/>
        <v>0</v>
      </c>
      <c r="R321" s="107">
        <f t="shared" si="37"/>
        <v>0</v>
      </c>
      <c r="S321" s="107">
        <f t="shared" si="40"/>
        <v>0</v>
      </c>
      <c r="T321" s="107">
        <f t="shared" si="41"/>
        <v>1</v>
      </c>
      <c r="U321" s="107">
        <f t="shared" si="38"/>
        <v>83</v>
      </c>
      <c r="V321" s="107">
        <f t="shared" si="42"/>
        <v>83</v>
      </c>
    </row>
    <row r="322" spans="1:23" ht="55.2" x14ac:dyDescent="0.3">
      <c r="A322" s="4" t="str">
        <f>Questions!$A322</f>
        <v>AIML-03</v>
      </c>
      <c r="B322" s="4" t="str">
        <f t="shared" si="43"/>
        <v>AIML</v>
      </c>
      <c r="C322" s="4" t="str">
        <f>VLOOKUP($A322,Questions!$A$3:$L$333,2,0)&amp;""</f>
        <v>Is your ML training data vetted, validated, and verified before training the solution's AI model?</v>
      </c>
      <c r="D322" s="4" t="str">
        <f>VLOOKUP($A322,Questions!$A$3:$L$333,11,0)&amp;""</f>
        <v/>
      </c>
      <c r="E322" s="4" t="str">
        <f>VLOOKUP($A322,Questions!$A$3:$L$333,12,0)&amp;""</f>
        <v>AI</v>
      </c>
      <c r="F322" s="4" t="str">
        <f>VLOOKUP($A322,'Institution Evaluation'!$A$56:$K$345,3,0)&amp;""</f>
        <v>Yes</v>
      </c>
      <c r="G322" s="4" t="str">
        <f>VLOOKUP($A322,'Institution Evaluation'!$A$56:$K$345,7,0)&amp;""</f>
        <v>Yes</v>
      </c>
      <c r="H322" s="4" t="str">
        <f>VLOOKUP($A322,'Institution Evaluation'!$A$56:$K$345,8,0)&amp;""</f>
        <v/>
      </c>
      <c r="I322" s="4" t="str">
        <f>VLOOKUP($A322,'Institution Evaluation'!$A$56:$K$345,9,0)&amp;""</f>
        <v>Standard Importance</v>
      </c>
      <c r="J322" s="4" t="str">
        <f>VLOOKUP($A322,'Institution Evaluation'!$A$56:$K$345,10,0)&amp;""</f>
        <v/>
      </c>
      <c r="K322" s="4">
        <f>IF($I322='Auto Responses'!$J$11,20,IF($I322='Auto Responses'!$J$13,5,10))</f>
        <v>10</v>
      </c>
      <c r="L322" s="107">
        <f>IF($E322='Auto Responses'!$L$13, 'Auto Responses'!$J$5,IF(AND($D322='Auto Responses'!$J$27,$H322=""),'Auto Responses'!$J$5,IF(AND($D322='Auto Responses'!$J$27,$H322='Auto Responses'!$J$7),1,IF(AND($D322='Auto Responses'!$J$27,$H322='Auto Responses'!$J$8),0,IF(OR(AND($F322=$G322,$H322=""),$H322='Auto Responses'!$J$7),1,0)))))</f>
        <v>1</v>
      </c>
      <c r="M322" s="4" t="str">
        <f>VLOOKUP($A322,'Institution Evaluation'!$A$56:$K$345,11,0)&amp;""</f>
        <v>FALSE</v>
      </c>
      <c r="N322" s="4">
        <f>IF($J322='Auto Responses'!$J$11,1,IF(AND($J322="",$I322='Auto Responses'!$J$11),1,0))</f>
        <v>0</v>
      </c>
      <c r="O322" s="107">
        <f>IF(OR($F$20='Auto Responses'!$J$4,$F$303='Auto Responses'!$J$4,$E322='Auto Responses'!$L$13,$F322='Auto Responses'!$J$5),'Auto Responses'!$J$5,IF($J322="",$K322,IF($J322='Auto Responses'!$J$13,5,IF($J322='Auto Responses'!$J$12,10,IF($J322='Auto Responses'!$J$11,20,0)))))</f>
        <v>10</v>
      </c>
      <c r="P322" s="107">
        <f>IF(OR($O322='Auto Responses'!$J$5,$L322='Auto Responses'!$J$5),'Auto Responses'!$J$5,$O322*$L322)</f>
        <v>10</v>
      </c>
      <c r="Q322" s="107">
        <f t="shared" si="39"/>
        <v>0</v>
      </c>
      <c r="R322" s="107">
        <f t="shared" si="37"/>
        <v>0</v>
      </c>
      <c r="S322" s="107">
        <f t="shared" si="40"/>
        <v>0</v>
      </c>
      <c r="T322" s="107">
        <f t="shared" si="41"/>
        <v>0</v>
      </c>
      <c r="U322" s="107">
        <f t="shared" si="38"/>
        <v>83</v>
      </c>
      <c r="V322" s="107">
        <f t="shared" si="42"/>
        <v>0</v>
      </c>
    </row>
    <row r="323" spans="1:23" ht="55.2" x14ac:dyDescent="0.3">
      <c r="A323" s="4" t="str">
        <f>Questions!$A323</f>
        <v>AIML-04</v>
      </c>
      <c r="B323" s="4" t="str">
        <f t="shared" si="43"/>
        <v>AIML</v>
      </c>
      <c r="C323" s="4" t="str">
        <f>VLOOKUP($A323,Questions!$A$3:$L$333,2,0)&amp;""</f>
        <v>Is your ML training data monitored and audited?</v>
      </c>
      <c r="D323" s="4" t="str">
        <f>VLOOKUP($A323,Questions!$A$3:$L$333,11,0)&amp;""</f>
        <v/>
      </c>
      <c r="E323" s="4" t="str">
        <f>VLOOKUP($A323,Questions!$A$3:$L$333,12,0)&amp;""</f>
        <v>AI</v>
      </c>
      <c r="F323" s="4" t="str">
        <f>VLOOKUP($A323,'Institution Evaluation'!$A$56:$K$345,3,0)&amp;""</f>
        <v>No</v>
      </c>
      <c r="G323" s="4" t="str">
        <f>VLOOKUP($A323,'Institution Evaluation'!$A$56:$K$345,7,0)&amp;""</f>
        <v>Yes</v>
      </c>
      <c r="H323" s="4" t="str">
        <f>VLOOKUP($A323,'Institution Evaluation'!$A$56:$K$345,8,0)&amp;""</f>
        <v/>
      </c>
      <c r="I323" s="4" t="str">
        <f>VLOOKUP($A323,'Institution Evaluation'!$A$56:$K$345,9,0)&amp;""</f>
        <v>Standard Importance</v>
      </c>
      <c r="J323" s="4" t="str">
        <f>VLOOKUP($A323,'Institution Evaluation'!$A$56:$K$345,10,0)&amp;""</f>
        <v/>
      </c>
      <c r="K323" s="4">
        <f>IF($I323='Auto Responses'!$J$11,20,IF($I323='Auto Responses'!$J$13,5,10))</f>
        <v>10</v>
      </c>
      <c r="L323" s="107">
        <f>IF($E323='Auto Responses'!$L$13, 'Auto Responses'!$J$5,IF(AND($D323='Auto Responses'!$J$27,$H323=""),'Auto Responses'!$J$5,IF(AND($D323='Auto Responses'!$J$27,$H323='Auto Responses'!$J$7),1,IF(AND($D323='Auto Responses'!$J$27,$H323='Auto Responses'!$J$8),0,IF(OR(AND($F323=$G323,$H323=""),$H323='Auto Responses'!$J$7),1,0)))))</f>
        <v>0</v>
      </c>
      <c r="M323" s="4" t="str">
        <f>VLOOKUP($A323,'Institution Evaluation'!$A$56:$K$345,11,0)&amp;""</f>
        <v>FALSE</v>
      </c>
      <c r="N323" s="4">
        <f>IF($J323='Auto Responses'!$J$11,1,IF(AND($J323="",$I323='Auto Responses'!$J$11),1,0))</f>
        <v>0</v>
      </c>
      <c r="O323" s="107">
        <f>IF(OR($F$20='Auto Responses'!$J$4,$F$303='Auto Responses'!$J$4,$E323='Auto Responses'!$L$13,$F323='Auto Responses'!$J$5),'Auto Responses'!$J$5,IF($J323="",$K323,IF($J323='Auto Responses'!$J$13,5,IF($J323='Auto Responses'!$J$12,10,IF($J323='Auto Responses'!$J$11,20,0)))))</f>
        <v>10</v>
      </c>
      <c r="P323" s="107">
        <f>IF(OR($O323='Auto Responses'!$J$5,$L323='Auto Responses'!$J$5),'Auto Responses'!$J$5,$O323*$L323)</f>
        <v>0</v>
      </c>
      <c r="Q323" s="107">
        <f t="shared" si="39"/>
        <v>0</v>
      </c>
      <c r="R323" s="107">
        <f t="shared" si="37"/>
        <v>0</v>
      </c>
      <c r="S323" s="107">
        <f t="shared" si="40"/>
        <v>0</v>
      </c>
      <c r="T323" s="107">
        <f t="shared" si="41"/>
        <v>0</v>
      </c>
      <c r="U323" s="107">
        <f t="shared" si="38"/>
        <v>83</v>
      </c>
      <c r="V323" s="107">
        <f t="shared" si="42"/>
        <v>0</v>
      </c>
    </row>
    <row r="324" spans="1:23" ht="55.2" x14ac:dyDescent="0.3">
      <c r="A324" s="4" t="str">
        <f>Questions!$A324</f>
        <v>AIML-05</v>
      </c>
      <c r="B324" s="4" t="str">
        <f t="shared" si="43"/>
        <v>AIML</v>
      </c>
      <c r="C324" s="4" t="str">
        <f>VLOOKUP($A324,Questions!$A$3:$L$333,2,0)&amp;""</f>
        <v>Have you limited access to your ML training data to only staff with an explicit business need?</v>
      </c>
      <c r="D324" s="4" t="str">
        <f>VLOOKUP($A324,Questions!$A$3:$L$333,11,0)&amp;""</f>
        <v/>
      </c>
      <c r="E324" s="4" t="str">
        <f>VLOOKUP($A324,Questions!$A$3:$L$333,12,0)&amp;""</f>
        <v>AI</v>
      </c>
      <c r="F324" s="4" t="str">
        <f>VLOOKUP($A324,'Institution Evaluation'!$A$56:$K$345,3,0)&amp;""</f>
        <v>Yes</v>
      </c>
      <c r="G324" s="4" t="str">
        <f>VLOOKUP($A324,'Institution Evaluation'!$A$56:$K$345,7,0)&amp;""</f>
        <v>Yes</v>
      </c>
      <c r="H324" s="4" t="str">
        <f>VLOOKUP($A324,'Institution Evaluation'!$A$56:$K$345,8,0)&amp;""</f>
        <v/>
      </c>
      <c r="I324" s="4" t="str">
        <f>VLOOKUP($A324,'Institution Evaluation'!$A$56:$K$345,9,0)&amp;""</f>
        <v>Minor Importance</v>
      </c>
      <c r="J324" s="4" t="str">
        <f>VLOOKUP($A324,'Institution Evaluation'!$A$56:$K$345,10,0)&amp;""</f>
        <v/>
      </c>
      <c r="K324" s="4">
        <f>IF($I324='Auto Responses'!$J$11,20,IF($I324='Auto Responses'!$J$13,5,10))</f>
        <v>5</v>
      </c>
      <c r="L324" s="107">
        <f>IF($E324='Auto Responses'!$L$13, 'Auto Responses'!$J$5,IF(AND($D324='Auto Responses'!$J$27,$H324=""),'Auto Responses'!$J$5,IF(AND($D324='Auto Responses'!$J$27,$H324='Auto Responses'!$J$7),1,IF(AND($D324='Auto Responses'!$J$27,$H324='Auto Responses'!$J$8),0,IF(OR(AND($F324=$G324,$H324=""),$H324='Auto Responses'!$J$7),1,0)))))</f>
        <v>1</v>
      </c>
      <c r="M324" s="4" t="str">
        <f>VLOOKUP($A324,'Institution Evaluation'!$A$56:$K$345,11,0)&amp;""</f>
        <v>FALSE</v>
      </c>
      <c r="N324" s="4">
        <f>IF($J324='Auto Responses'!$J$11,1,IF(AND($J324="",$I324='Auto Responses'!$J$11),1,0))</f>
        <v>0</v>
      </c>
      <c r="O324" s="107">
        <f>IF(OR($F$20='Auto Responses'!$J$4,$F$303='Auto Responses'!$J$4,$E324='Auto Responses'!$L$13,$F324='Auto Responses'!$J$5),'Auto Responses'!$J$5,IF($J324="",$K324,IF($J324='Auto Responses'!$J$13,5,IF($J324='Auto Responses'!$J$12,10,IF($J324='Auto Responses'!$J$11,20,0)))))</f>
        <v>5</v>
      </c>
      <c r="P324" s="107">
        <f>IF(OR($O324='Auto Responses'!$J$5,$L324='Auto Responses'!$J$5),'Auto Responses'!$J$5,$O324*$L324)</f>
        <v>5</v>
      </c>
      <c r="Q324" s="107">
        <f t="shared" si="39"/>
        <v>0</v>
      </c>
      <c r="R324" s="107">
        <f t="shared" si="37"/>
        <v>0</v>
      </c>
      <c r="S324" s="107">
        <f t="shared" si="40"/>
        <v>0</v>
      </c>
      <c r="T324" s="107">
        <f t="shared" si="41"/>
        <v>0</v>
      </c>
      <c r="U324" s="107">
        <f t="shared" si="38"/>
        <v>83</v>
      </c>
      <c r="V324" s="107">
        <f t="shared" si="42"/>
        <v>0</v>
      </c>
    </row>
    <row r="325" spans="1:23" ht="55.2" x14ac:dyDescent="0.3">
      <c r="A325" s="4" t="str">
        <f>Questions!$A325</f>
        <v>AIML-06</v>
      </c>
      <c r="B325" s="4" t="str">
        <f t="shared" si="43"/>
        <v>AIML</v>
      </c>
      <c r="C325" s="4" t="str">
        <f>VLOOKUP($A325,Questions!$A$3:$L$333,2,0)&amp;""</f>
        <v>Have you implemented adversarial training or other model defense mechanisms to protect your ML-related features?</v>
      </c>
      <c r="D325" s="4" t="str">
        <f>VLOOKUP($A325,Questions!$A$3:$L$333,11,0)&amp;""</f>
        <v/>
      </c>
      <c r="E325" s="4" t="str">
        <f>VLOOKUP($A325,Questions!$A$3:$L$333,12,0)&amp;""</f>
        <v>AI</v>
      </c>
      <c r="F325" s="4" t="str">
        <f>VLOOKUP($A325,'Institution Evaluation'!$A$56:$K$345,3,0)&amp;""</f>
        <v>Yes</v>
      </c>
      <c r="G325" s="4" t="str">
        <f>VLOOKUP($A325,'Institution Evaluation'!$A$56:$K$345,7,0)&amp;""</f>
        <v>Yes</v>
      </c>
      <c r="H325" s="4" t="str">
        <f>VLOOKUP($A325,'Institution Evaluation'!$A$56:$K$345,8,0)&amp;""</f>
        <v/>
      </c>
      <c r="I325" s="4" t="str">
        <f>VLOOKUP($A325,'Institution Evaluation'!$A$56:$K$345,9,0)&amp;""</f>
        <v>Minor Importance</v>
      </c>
      <c r="J325" s="4" t="str">
        <f>VLOOKUP($A325,'Institution Evaluation'!$A$56:$K$345,10,0)&amp;""</f>
        <v/>
      </c>
      <c r="K325" s="4">
        <f>IF($I325='Auto Responses'!$J$11,20,IF($I325='Auto Responses'!$J$13,5,10))</f>
        <v>5</v>
      </c>
      <c r="L325" s="107">
        <f>IF($E325='Auto Responses'!$L$13, 'Auto Responses'!$J$5,IF(AND($D325='Auto Responses'!$J$27,$H325=""),'Auto Responses'!$J$5,IF(AND($D325='Auto Responses'!$J$27,$H325='Auto Responses'!$J$7),1,IF(AND($D325='Auto Responses'!$J$27,$H325='Auto Responses'!$J$8),0,IF(OR(AND($F325=$G325,$H325=""),$H325='Auto Responses'!$J$7),1,0)))))</f>
        <v>1</v>
      </c>
      <c r="M325" s="4" t="str">
        <f>VLOOKUP($A325,'Institution Evaluation'!$A$56:$K$345,11,0)&amp;""</f>
        <v>FALSE</v>
      </c>
      <c r="N325" s="4">
        <f>IF($J325='Auto Responses'!$J$11,1,IF(AND($J325="",$I325='Auto Responses'!$J$11),1,0))</f>
        <v>0</v>
      </c>
      <c r="O325" s="107">
        <f>IF(OR($F$20='Auto Responses'!$J$4,$F$303='Auto Responses'!$J$4,$E325='Auto Responses'!$L$13,$F325='Auto Responses'!$J$5),'Auto Responses'!$J$5,IF($J325="",$K325,IF($J325='Auto Responses'!$J$13,5,IF($J325='Auto Responses'!$J$12,10,IF($J325='Auto Responses'!$J$11,20,0)))))</f>
        <v>5</v>
      </c>
      <c r="P325" s="107">
        <f>IF(OR($O325='Auto Responses'!$J$5,$L325='Auto Responses'!$J$5),'Auto Responses'!$J$5,$O325*$L325)</f>
        <v>5</v>
      </c>
      <c r="Q325" s="107">
        <f t="shared" si="39"/>
        <v>0</v>
      </c>
      <c r="R325" s="107">
        <f t="shared" ref="R325:R333" si="44">R324+Q325</f>
        <v>0</v>
      </c>
      <c r="S325" s="107">
        <f t="shared" si="40"/>
        <v>0</v>
      </c>
      <c r="T325" s="107">
        <f t="shared" si="41"/>
        <v>0</v>
      </c>
      <c r="U325" s="107">
        <f t="shared" ref="U325:U333" si="45">U324+T325</f>
        <v>83</v>
      </c>
      <c r="V325" s="107">
        <f t="shared" si="42"/>
        <v>0</v>
      </c>
    </row>
    <row r="326" spans="1:23" ht="55.2" x14ac:dyDescent="0.3">
      <c r="A326" s="4" t="str">
        <f>Questions!$A326</f>
        <v>AIML-07</v>
      </c>
      <c r="B326" s="4" t="str">
        <f t="shared" si="43"/>
        <v>AIML</v>
      </c>
      <c r="C326" s="4" t="str">
        <f>VLOOKUP($A326,Questions!$A$3:$L$333,2,0)&amp;""</f>
        <v>Do you make your ML model transparent through documentation and log inputs and outputs?</v>
      </c>
      <c r="D326" s="4" t="str">
        <f>VLOOKUP($A326,Questions!$A$3:$L$333,11,0)&amp;""</f>
        <v/>
      </c>
      <c r="E326" s="4" t="str">
        <f>VLOOKUP($A326,Questions!$A$3:$L$333,12,0)&amp;""</f>
        <v>AI</v>
      </c>
      <c r="F326" s="4" t="str">
        <f>VLOOKUP($A326,'Institution Evaluation'!$A$56:$K$345,3,0)&amp;""</f>
        <v>Yes</v>
      </c>
      <c r="G326" s="4" t="str">
        <f>VLOOKUP($A326,'Institution Evaluation'!$A$56:$K$345,7,0)&amp;""</f>
        <v>Yes</v>
      </c>
      <c r="H326" s="4" t="str">
        <f>VLOOKUP($A326,'Institution Evaluation'!$A$56:$K$345,8,0)&amp;""</f>
        <v/>
      </c>
      <c r="I326" s="4" t="str">
        <f>VLOOKUP($A326,'Institution Evaluation'!$A$56:$K$345,9,0)&amp;""</f>
        <v>Minor Importance</v>
      </c>
      <c r="J326" s="4" t="str">
        <f>VLOOKUP($A326,'Institution Evaluation'!$A$56:$K$345,10,0)&amp;""</f>
        <v/>
      </c>
      <c r="K326" s="4">
        <f>IF($I326='Auto Responses'!$J$11,20,IF($I326='Auto Responses'!$J$13,5,10))</f>
        <v>5</v>
      </c>
      <c r="L326" s="107">
        <f>IF($E326='Auto Responses'!$L$13, 'Auto Responses'!$J$5,IF(AND($D326='Auto Responses'!$J$27,$H326=""),'Auto Responses'!$J$5,IF(AND($D326='Auto Responses'!$J$27,$H326='Auto Responses'!$J$7),1,IF(AND($D326='Auto Responses'!$J$27,$H326='Auto Responses'!$J$8),0,IF(OR(AND($F326=$G326,$H326=""),$H326='Auto Responses'!$J$7),1,0)))))</f>
        <v>1</v>
      </c>
      <c r="M326" s="4" t="str">
        <f>VLOOKUP($A326,'Institution Evaluation'!$A$56:$K$345,11,0)&amp;""</f>
        <v>FALSE</v>
      </c>
      <c r="N326" s="4">
        <f>IF($J326='Auto Responses'!$J$11,1,IF(AND($J326="",$I326='Auto Responses'!$J$11),1,0))</f>
        <v>0</v>
      </c>
      <c r="O326" s="107">
        <f>IF(OR($F$20='Auto Responses'!$J$4,$F$303='Auto Responses'!$J$4,$E326='Auto Responses'!$L$13,$F326='Auto Responses'!$J$5),'Auto Responses'!$J$5,IF($J326="",$K326,IF($J326='Auto Responses'!$J$13,5,IF($J326='Auto Responses'!$J$12,10,IF($J326='Auto Responses'!$J$11,20,0)))))</f>
        <v>5</v>
      </c>
      <c r="P326" s="107">
        <f>IF(OR($O326='Auto Responses'!$J$5,$L326='Auto Responses'!$J$5),'Auto Responses'!$J$5,$O326*$L326)</f>
        <v>5</v>
      </c>
      <c r="Q326" s="107">
        <f t="shared" si="39"/>
        <v>0</v>
      </c>
      <c r="R326" s="107">
        <f t="shared" si="44"/>
        <v>0</v>
      </c>
      <c r="S326" s="107">
        <f t="shared" si="40"/>
        <v>0</v>
      </c>
      <c r="T326" s="107">
        <f t="shared" si="41"/>
        <v>0</v>
      </c>
      <c r="U326" s="107">
        <f t="shared" si="45"/>
        <v>83</v>
      </c>
      <c r="V326" s="107">
        <f t="shared" si="42"/>
        <v>0</v>
      </c>
    </row>
    <row r="327" spans="1:23" ht="55.2" x14ac:dyDescent="0.3">
      <c r="A327" s="4" t="str">
        <f>Questions!$A327</f>
        <v>AIML-08</v>
      </c>
      <c r="B327" s="4" t="str">
        <f t="shared" si="43"/>
        <v>AIML</v>
      </c>
      <c r="C327" s="4" t="str">
        <f>VLOOKUP($A327,Questions!$A$3:$L$333,2,0)&amp;""</f>
        <v>Do you watermark your ML training data?</v>
      </c>
      <c r="D327" s="4" t="str">
        <f>VLOOKUP($A327,Questions!$A$3:$L$333,11,0)&amp;""</f>
        <v/>
      </c>
      <c r="E327" s="4" t="str">
        <f>VLOOKUP($A327,Questions!$A$3:$L$333,12,0)&amp;""</f>
        <v>AI</v>
      </c>
      <c r="F327" s="4" t="str">
        <f>VLOOKUP($A327,'Institution Evaluation'!$A$56:$K$345,3,0)&amp;""</f>
        <v>No</v>
      </c>
      <c r="G327" s="4" t="str">
        <f>VLOOKUP($A327,'Institution Evaluation'!$A$56:$K$345,7,0)&amp;""</f>
        <v>Yes</v>
      </c>
      <c r="H327" s="4" t="str">
        <f>VLOOKUP($A327,'Institution Evaluation'!$A$56:$K$345,8,0)&amp;""</f>
        <v/>
      </c>
      <c r="I327" s="4" t="str">
        <f>VLOOKUP($A327,'Institution Evaluation'!$A$56:$K$345,9,0)&amp;""</f>
        <v>Minor Importance</v>
      </c>
      <c r="J327" s="4" t="str">
        <f>VLOOKUP($A327,'Institution Evaluation'!$A$56:$K$345,10,0)&amp;""</f>
        <v/>
      </c>
      <c r="K327" s="4">
        <f>IF($I327='Auto Responses'!$J$11,20,IF($I327='Auto Responses'!$J$13,5,10))</f>
        <v>5</v>
      </c>
      <c r="L327" s="107">
        <f>IF($E327='Auto Responses'!$L$13, 'Auto Responses'!$J$5,IF(AND($D327='Auto Responses'!$J$27,$H327=""),'Auto Responses'!$J$5,IF(AND($D327='Auto Responses'!$J$27,$H327='Auto Responses'!$J$7),1,IF(AND($D327='Auto Responses'!$J$27,$H327='Auto Responses'!$J$8),0,IF(OR(AND($F327=$G327,$H327=""),$H327='Auto Responses'!$J$7),1,0)))))</f>
        <v>0</v>
      </c>
      <c r="M327" s="4" t="str">
        <f>VLOOKUP($A327,'Institution Evaluation'!$A$56:$K$345,11,0)&amp;""</f>
        <v>FALSE</v>
      </c>
      <c r="N327" s="4">
        <f>IF($J327='Auto Responses'!$J$11,1,IF(AND($J327="",$I327='Auto Responses'!$J$11),1,0))</f>
        <v>0</v>
      </c>
      <c r="O327" s="107">
        <f>IF(OR($F$20='Auto Responses'!$J$4,$F$303='Auto Responses'!$J$4,$E327='Auto Responses'!$L$13,$F327='Auto Responses'!$J$5),'Auto Responses'!$J$5,IF($J327="",$K327,IF($J327='Auto Responses'!$J$13,5,IF($J327='Auto Responses'!$J$12,10,IF($J327='Auto Responses'!$J$11,20,0)))))</f>
        <v>5</v>
      </c>
      <c r="P327" s="107">
        <f>IF(OR($O327='Auto Responses'!$J$5,$L327='Auto Responses'!$J$5),'Auto Responses'!$J$5,$O327*$L327)</f>
        <v>0</v>
      </c>
      <c r="Q327" s="107">
        <f t="shared" si="39"/>
        <v>0</v>
      </c>
      <c r="R327" s="107">
        <f t="shared" si="44"/>
        <v>0</v>
      </c>
      <c r="S327" s="107">
        <f t="shared" si="40"/>
        <v>0</v>
      </c>
      <c r="T327" s="107">
        <f t="shared" si="41"/>
        <v>0</v>
      </c>
      <c r="U327" s="107">
        <f t="shared" si="45"/>
        <v>83</v>
      </c>
      <c r="V327" s="107">
        <f t="shared" si="42"/>
        <v>0</v>
      </c>
    </row>
    <row r="328" spans="1:23" ht="55.2" x14ac:dyDescent="0.3">
      <c r="A328" s="4" t="str">
        <f>Questions!$A328</f>
        <v>AILM-01</v>
      </c>
      <c r="B328" s="4" t="str">
        <f t="shared" si="43"/>
        <v>AILM</v>
      </c>
      <c r="C328" s="4" t="str">
        <f>VLOOKUP($A328,Questions!$A$3:$L$333,2,0)&amp;""</f>
        <v>Do you limit your solution's LLM privileges by default?*</v>
      </c>
      <c r="D328" s="4" t="str">
        <f>VLOOKUP($A328,Questions!$A$3:$L$333,11,0)&amp;""</f>
        <v/>
      </c>
      <c r="E328" s="4" t="str">
        <f>VLOOKUP($A328,Questions!$A$3:$L$333,12,0)&amp;""</f>
        <v>AI</v>
      </c>
      <c r="F328" s="4" t="str">
        <f>VLOOKUP($A328,'Institution Evaluation'!$A$56:$K$345,3,0)&amp;""</f>
        <v/>
      </c>
      <c r="G328" s="4" t="str">
        <f>VLOOKUP($A328,'Institution Evaluation'!$A$56:$K$345,7,0)&amp;""</f>
        <v>Yes</v>
      </c>
      <c r="H328" s="4" t="str">
        <f>VLOOKUP($A328,'Institution Evaluation'!$A$56:$K$345,8,0)&amp;""</f>
        <v/>
      </c>
      <c r="I328" s="4" t="str">
        <f>VLOOKUP($A328,'Institution Evaluation'!$A$56:$K$345,9,0)&amp;""</f>
        <v>Critical Importance</v>
      </c>
      <c r="J328" s="4" t="str">
        <f>VLOOKUP($A328,'Institution Evaluation'!$A$56:$K$345,10,0)&amp;""</f>
        <v/>
      </c>
      <c r="K328" s="4">
        <f>IF($I328='Auto Responses'!$J$11,20,IF($I328='Auto Responses'!$J$13,5,10))</f>
        <v>20</v>
      </c>
      <c r="L328" s="107">
        <f>IF($E328='Auto Responses'!$L$13, 'Auto Responses'!$J$5,IF(AND($D328='Auto Responses'!$J$27,$H328=""),'Auto Responses'!$J$5,IF(AND($D328='Auto Responses'!$J$27,$H328='Auto Responses'!$J$7),1,IF(AND($D328='Auto Responses'!$J$27,$H328='Auto Responses'!$J$8),0,IF(OR(AND($F328=$G328,$H328=""),$H328='Auto Responses'!$J$7),1,0)))))</f>
        <v>0</v>
      </c>
      <c r="M328" s="4" t="str">
        <f>VLOOKUP($A328,'Institution Evaluation'!$A$56:$K$345,11,0)&amp;""</f>
        <v>FALSE</v>
      </c>
      <c r="N328" s="4">
        <f>IF($J328='Auto Responses'!$J$11,1,IF(AND($J328="",$I328='Auto Responses'!$J$11),1,0))</f>
        <v>1</v>
      </c>
      <c r="O328" s="107" t="str">
        <f>IF(OR($F$20='Auto Responses'!$J$4,$F$304='Auto Responses'!$J$4,$E328='Auto Responses'!$L$13,$F328='Auto Responses'!$J$5),'Auto Responses'!$J$5,IF($J328="",$K328,IF($J328='Auto Responses'!$J$13,5,IF($J328='Auto Responses'!$J$12,10,IF($J328='Auto Responses'!$J$11,20,0)))))</f>
        <v>N/A</v>
      </c>
      <c r="P328" s="107" t="str">
        <f>IF(OR($O328='Auto Responses'!$J$5,$L328='Auto Responses'!$J$5),'Auto Responses'!$J$5,$O328*$L328)</f>
        <v>N/A</v>
      </c>
      <c r="Q328" s="107">
        <f t="shared" si="39"/>
        <v>0</v>
      </c>
      <c r="R328" s="107">
        <f t="shared" si="44"/>
        <v>0</v>
      </c>
      <c r="S328" s="107">
        <f t="shared" si="40"/>
        <v>0</v>
      </c>
      <c r="T328" s="107">
        <f t="shared" si="41"/>
        <v>1</v>
      </c>
      <c r="U328" s="107">
        <f t="shared" si="45"/>
        <v>84</v>
      </c>
      <c r="V328" s="107">
        <f t="shared" si="42"/>
        <v>84</v>
      </c>
    </row>
    <row r="329" spans="1:23" ht="55.2" x14ac:dyDescent="0.3">
      <c r="A329" s="4" t="str">
        <f>Questions!$A329</f>
        <v>AILM-02</v>
      </c>
      <c r="B329" s="4" t="str">
        <f t="shared" si="43"/>
        <v>AILM</v>
      </c>
      <c r="C329" s="4" t="str">
        <f>VLOOKUP($A329,Questions!$A$3:$L$333,2,0)&amp;""</f>
        <v>Is your LLM training data vetted, validated, and verified before training the solution's AI model?*</v>
      </c>
      <c r="D329" s="4" t="str">
        <f>VLOOKUP($A329,Questions!$A$3:$L$333,11,0)&amp;""</f>
        <v/>
      </c>
      <c r="E329" s="4" t="str">
        <f>VLOOKUP($A329,Questions!$A$3:$L$333,12,0)&amp;""</f>
        <v>AI</v>
      </c>
      <c r="F329" s="4" t="str">
        <f>VLOOKUP($A329,'Institution Evaluation'!$A$56:$K$345,3,0)&amp;""</f>
        <v/>
      </c>
      <c r="G329" s="4" t="str">
        <f>VLOOKUP($A329,'Institution Evaluation'!$A$56:$K$345,7,0)&amp;""</f>
        <v>Yes</v>
      </c>
      <c r="H329" s="4" t="str">
        <f>VLOOKUP($A329,'Institution Evaluation'!$A$56:$K$345,8,0)&amp;""</f>
        <v/>
      </c>
      <c r="I329" s="4" t="str">
        <f>VLOOKUP($A329,'Institution Evaluation'!$A$56:$K$345,9,0)&amp;""</f>
        <v>Critical Importance</v>
      </c>
      <c r="J329" s="4" t="str">
        <f>VLOOKUP($A329,'Institution Evaluation'!$A$56:$K$345,10,0)&amp;""</f>
        <v/>
      </c>
      <c r="K329" s="4">
        <f>IF($I329='Auto Responses'!$J$11,20,IF($I329='Auto Responses'!$J$13,5,10))</f>
        <v>20</v>
      </c>
      <c r="L329" s="107">
        <f>IF($E329='Auto Responses'!$L$13, 'Auto Responses'!$J$5,IF(AND($D329='Auto Responses'!$J$27,$H329=""),'Auto Responses'!$J$5,IF(AND($D329='Auto Responses'!$J$27,$H329='Auto Responses'!$J$7),1,IF(AND($D329='Auto Responses'!$J$27,$H329='Auto Responses'!$J$8),0,IF(OR(AND($F329=$G329,$H329=""),$H329='Auto Responses'!$J$7),1,0)))))</f>
        <v>0</v>
      </c>
      <c r="M329" s="4" t="str">
        <f>VLOOKUP($A329,'Institution Evaluation'!$A$56:$K$345,11,0)&amp;""</f>
        <v>FALSE</v>
      </c>
      <c r="N329" s="4">
        <f>IF($J329='Auto Responses'!$J$11,1,IF(AND($J329="",$I329='Auto Responses'!$J$11),1,0))</f>
        <v>1</v>
      </c>
      <c r="O329" s="107" t="str">
        <f>IF(OR($F$20='Auto Responses'!$J$4,$F$304='Auto Responses'!$J$4,$E329='Auto Responses'!$L$13,$F329='Auto Responses'!$J$5),'Auto Responses'!$J$5,IF($J329="",$K329,IF($J329='Auto Responses'!$J$13,5,IF($J329='Auto Responses'!$J$12,10,IF($J329='Auto Responses'!$J$11,20,0)))))</f>
        <v>N/A</v>
      </c>
      <c r="P329" s="107" t="str">
        <f>IF(OR($O329='Auto Responses'!$J$5,$L329='Auto Responses'!$J$5),'Auto Responses'!$J$5,$O329*$L329)</f>
        <v>N/A</v>
      </c>
      <c r="Q329" s="107">
        <f t="shared" si="39"/>
        <v>0</v>
      </c>
      <c r="R329" s="107">
        <f t="shared" si="44"/>
        <v>0</v>
      </c>
      <c r="S329" s="107">
        <f t="shared" si="40"/>
        <v>0</v>
      </c>
      <c r="T329" s="107">
        <f t="shared" si="41"/>
        <v>1</v>
      </c>
      <c r="U329" s="107">
        <f t="shared" si="45"/>
        <v>85</v>
      </c>
      <c r="V329" s="107">
        <f t="shared" si="42"/>
        <v>85</v>
      </c>
    </row>
    <row r="330" spans="1:23" ht="55.2" x14ac:dyDescent="0.3">
      <c r="A330" s="4" t="str">
        <f>Questions!$A330</f>
        <v>AILM-03</v>
      </c>
      <c r="B330" s="4" t="str">
        <f t="shared" si="43"/>
        <v>AILM</v>
      </c>
      <c r="C330" s="4" t="str">
        <f>VLOOKUP($A330,Questions!$A$3:$L$333,2,0)&amp;""</f>
        <v>Do any actions taken by your solution's LLM features or plugins require human intervention?*</v>
      </c>
      <c r="D330" s="4" t="str">
        <f>VLOOKUP($A330,Questions!$A$3:$L$333,11,0)&amp;""</f>
        <v/>
      </c>
      <c r="E330" s="4" t="str">
        <f>VLOOKUP($A330,Questions!$A$3:$L$333,12,0)&amp;""</f>
        <v>AI</v>
      </c>
      <c r="F330" s="4" t="str">
        <f>VLOOKUP($A330,'Institution Evaluation'!$A$56:$K$345,3,0)&amp;""</f>
        <v/>
      </c>
      <c r="G330" s="4" t="str">
        <f>VLOOKUP($A330,'Institution Evaluation'!$A$56:$K$345,7,0)&amp;""</f>
        <v>Yes</v>
      </c>
      <c r="H330" s="4" t="str">
        <f>VLOOKUP($A330,'Institution Evaluation'!$A$56:$K$345,8,0)&amp;""</f>
        <v/>
      </c>
      <c r="I330" s="4" t="str">
        <f>VLOOKUP($A330,'Institution Evaluation'!$A$56:$K$345,9,0)&amp;""</f>
        <v>Critical Importance</v>
      </c>
      <c r="J330" s="4" t="str">
        <f>VLOOKUP($A330,'Institution Evaluation'!$A$56:$K$345,10,0)&amp;""</f>
        <v/>
      </c>
      <c r="K330" s="4">
        <f>IF($I330='Auto Responses'!$J$11,20,IF($I330='Auto Responses'!$J$13,5,10))</f>
        <v>20</v>
      </c>
      <c r="L330" s="107">
        <f>IF($E330='Auto Responses'!$L$13, 'Auto Responses'!$J$5,IF(AND($D330='Auto Responses'!$J$27,$H330=""),'Auto Responses'!$J$5,IF(AND($D330='Auto Responses'!$J$27,$H330='Auto Responses'!$J$7),1,IF(AND($D330='Auto Responses'!$J$27,$H330='Auto Responses'!$J$8),0,IF(OR(AND($F330=$G330,$H330=""),$H330='Auto Responses'!$J$7),1,0)))))</f>
        <v>0</v>
      </c>
      <c r="M330" s="4" t="str">
        <f>VLOOKUP($A330,'Institution Evaluation'!$A$56:$K$345,11,0)&amp;""</f>
        <v>FALSE</v>
      </c>
      <c r="N330" s="4">
        <f>IF($J330='Auto Responses'!$J$11,1,IF(AND($J330="",$I330='Auto Responses'!$J$11),1,0))</f>
        <v>1</v>
      </c>
      <c r="O330" s="107" t="str">
        <f>IF(OR($F$20='Auto Responses'!$J$4,$F$304='Auto Responses'!$J$4,$E330='Auto Responses'!$L$13,$F330='Auto Responses'!$J$5),'Auto Responses'!$J$5,IF($J330="",$K330,IF($J330='Auto Responses'!$J$13,5,IF($J330='Auto Responses'!$J$12,10,IF($J330='Auto Responses'!$J$11,20,0)))))</f>
        <v>N/A</v>
      </c>
      <c r="P330" s="107" t="str">
        <f>IF(OR($O330='Auto Responses'!$J$5,$L330='Auto Responses'!$J$5),'Auto Responses'!$J$5,$O330*$L330)</f>
        <v>N/A</v>
      </c>
      <c r="Q330" s="107">
        <f t="shared" si="39"/>
        <v>0</v>
      </c>
      <c r="R330" s="107">
        <f t="shared" si="44"/>
        <v>0</v>
      </c>
      <c r="S330" s="107">
        <f t="shared" si="40"/>
        <v>0</v>
      </c>
      <c r="T330" s="107">
        <f t="shared" si="41"/>
        <v>1</v>
      </c>
      <c r="U330" s="107">
        <f t="shared" si="45"/>
        <v>86</v>
      </c>
      <c r="V330" s="107">
        <f t="shared" si="42"/>
        <v>86</v>
      </c>
    </row>
    <row r="331" spans="1:23" ht="55.2" x14ac:dyDescent="0.3">
      <c r="A331" s="4" t="str">
        <f>Questions!$A331</f>
        <v>AILM-04</v>
      </c>
      <c r="B331" s="4" t="str">
        <f t="shared" si="43"/>
        <v>AILM</v>
      </c>
      <c r="C331" s="4" t="str">
        <f>VLOOKUP($A331,Questions!$A$3:$L$333,2,0)&amp;""</f>
        <v>Do you limit multiple LLM model plugins being called as part of a single input?*</v>
      </c>
      <c r="D331" s="4" t="str">
        <f>VLOOKUP($A331,Questions!$A$3:$L$333,11,0)&amp;""</f>
        <v/>
      </c>
      <c r="E331" s="4" t="str">
        <f>VLOOKUP($A331,Questions!$A$3:$L$333,12,0)&amp;""</f>
        <v>AI</v>
      </c>
      <c r="F331" s="4" t="str">
        <f>VLOOKUP($A331,'Institution Evaluation'!$A$56:$K$345,3,0)&amp;""</f>
        <v/>
      </c>
      <c r="G331" s="4" t="str">
        <f>VLOOKUP($A331,'Institution Evaluation'!$A$56:$K$345,7,0)&amp;""</f>
        <v>Yes</v>
      </c>
      <c r="H331" s="4" t="str">
        <f>VLOOKUP($A331,'Institution Evaluation'!$A$56:$K$345,8,0)&amp;""</f>
        <v/>
      </c>
      <c r="I331" s="4" t="str">
        <f>VLOOKUP($A331,'Institution Evaluation'!$A$56:$K$345,9,0)&amp;""</f>
        <v>Critical Importance</v>
      </c>
      <c r="J331" s="4" t="str">
        <f>VLOOKUP($A331,'Institution Evaluation'!$A$56:$K$345,10,0)&amp;""</f>
        <v/>
      </c>
      <c r="K331" s="4">
        <f>IF($I331='Auto Responses'!$J$11,20,IF($I331='Auto Responses'!$J$13,5,10))</f>
        <v>20</v>
      </c>
      <c r="L331" s="107">
        <f>IF($E331='Auto Responses'!$L$13, 'Auto Responses'!$J$5,IF(AND($D331='Auto Responses'!$J$27,$H331=""),'Auto Responses'!$J$5,IF(AND($D331='Auto Responses'!$J$27,$H331='Auto Responses'!$J$7),1,IF(AND($D331='Auto Responses'!$J$27,$H331='Auto Responses'!$J$8),0,IF(OR(AND($F331=$G331,$H331=""),$H331='Auto Responses'!$J$7),1,0)))))</f>
        <v>0</v>
      </c>
      <c r="M331" s="4" t="str">
        <f>VLOOKUP($A331,'Institution Evaluation'!$A$56:$K$345,11,0)&amp;""</f>
        <v>FALSE</v>
      </c>
      <c r="N331" s="4">
        <f>IF($J331='Auto Responses'!$J$11,1,IF(AND($J331="",$I331='Auto Responses'!$J$11),1,0))</f>
        <v>1</v>
      </c>
      <c r="O331" s="107" t="str">
        <f>IF(OR($F$20='Auto Responses'!$J$4,$F$304='Auto Responses'!$J$4,$E331='Auto Responses'!$L$13,$F331='Auto Responses'!$J$5),'Auto Responses'!$J$5,IF($J331="",$K331,IF($J331='Auto Responses'!$J$13,5,IF($J331='Auto Responses'!$J$12,10,IF($J331='Auto Responses'!$J$11,20,0)))))</f>
        <v>N/A</v>
      </c>
      <c r="P331" s="107" t="str">
        <f>IF(OR($O331='Auto Responses'!$J$5,$L331='Auto Responses'!$J$5),'Auto Responses'!$J$5,$O331*$L331)</f>
        <v>N/A</v>
      </c>
      <c r="Q331" s="107">
        <f t="shared" si="39"/>
        <v>0</v>
      </c>
      <c r="R331" s="107">
        <f t="shared" si="44"/>
        <v>0</v>
      </c>
      <c r="S331" s="107">
        <f t="shared" si="40"/>
        <v>0</v>
      </c>
      <c r="T331" s="107">
        <f t="shared" si="41"/>
        <v>1</v>
      </c>
      <c r="U331" s="107">
        <f t="shared" si="45"/>
        <v>87</v>
      </c>
      <c r="V331" s="107">
        <f t="shared" si="42"/>
        <v>87</v>
      </c>
    </row>
    <row r="332" spans="1:23" ht="55.2" x14ac:dyDescent="0.3">
      <c r="A332" s="4" t="str">
        <f>Questions!$A332</f>
        <v>AILM-05</v>
      </c>
      <c r="B332" s="4" t="str">
        <f t="shared" si="43"/>
        <v>AILM</v>
      </c>
      <c r="C332" s="4" t="str">
        <f>VLOOKUP($A332,Questions!$A$3:$L$333,2,0)&amp;""</f>
        <v>Do you limit your solution's LLM resource use per request, per step, and per action?</v>
      </c>
      <c r="D332" s="4" t="str">
        <f>VLOOKUP($A332,Questions!$A$3:$L$333,11,0)&amp;""</f>
        <v/>
      </c>
      <c r="E332" s="4" t="str">
        <f>VLOOKUP($A332,Questions!$A$3:$L$333,12,0)&amp;""</f>
        <v>AI</v>
      </c>
      <c r="F332" s="4" t="str">
        <f>VLOOKUP($A332,'Institution Evaluation'!$A$56:$K$345,3,0)&amp;""</f>
        <v/>
      </c>
      <c r="G332" s="4" t="str">
        <f>VLOOKUP($A332,'Institution Evaluation'!$A$56:$K$345,7,0)&amp;""</f>
        <v>Yes</v>
      </c>
      <c r="H332" s="4" t="str">
        <f>VLOOKUP($A332,'Institution Evaluation'!$A$56:$K$345,8,0)&amp;""</f>
        <v/>
      </c>
      <c r="I332" s="4" t="str">
        <f>VLOOKUP($A332,'Institution Evaluation'!$A$56:$K$345,9,0)&amp;""</f>
        <v>Standard Importance</v>
      </c>
      <c r="J332" s="4" t="str">
        <f>VLOOKUP($A332,'Institution Evaluation'!$A$56:$K$345,10,0)&amp;""</f>
        <v/>
      </c>
      <c r="K332" s="4">
        <f>IF($I332='Auto Responses'!$J$11,20,IF($I332='Auto Responses'!$J$13,5,10))</f>
        <v>10</v>
      </c>
      <c r="L332" s="107">
        <f>IF($E332='Auto Responses'!$L$13, 'Auto Responses'!$J$5,IF(AND($D332='Auto Responses'!$J$27,$H332=""),'Auto Responses'!$J$5,IF(AND($D332='Auto Responses'!$J$27,$H332='Auto Responses'!$J$7),1,IF(AND($D332='Auto Responses'!$J$27,$H332='Auto Responses'!$J$8),0,IF(OR(AND($F332=$G332,$H332=""),$H332='Auto Responses'!$J$7),1,0)))))</f>
        <v>0</v>
      </c>
      <c r="M332" s="4" t="str">
        <f>VLOOKUP($A332,'Institution Evaluation'!$A$56:$K$345,11,0)&amp;""</f>
        <v>FALSE</v>
      </c>
      <c r="N332" s="4">
        <f>IF($J332='Auto Responses'!$J$11,1,IF(AND($J332="",$I332='Auto Responses'!$J$11),1,0))</f>
        <v>0</v>
      </c>
      <c r="O332" s="107" t="str">
        <f>IF(OR($F$20='Auto Responses'!$J$4,$F$304='Auto Responses'!$J$4,$E332='Auto Responses'!$L$13,$F332='Auto Responses'!$J$5),'Auto Responses'!$J$5,IF($J332="",$K332,IF($J332='Auto Responses'!$J$13,5,IF($J332='Auto Responses'!$J$12,10,IF($J332='Auto Responses'!$J$11,20,0)))))</f>
        <v>N/A</v>
      </c>
      <c r="P332" s="107" t="str">
        <f>IF(OR($O332='Auto Responses'!$J$5,$L332='Auto Responses'!$J$5),'Auto Responses'!$J$5,$O332*$L332)</f>
        <v>N/A</v>
      </c>
      <c r="Q332" s="107">
        <f t="shared" si="39"/>
        <v>0</v>
      </c>
      <c r="R332" s="107">
        <f t="shared" si="44"/>
        <v>0</v>
      </c>
      <c r="S332" s="107">
        <f t="shared" si="40"/>
        <v>0</v>
      </c>
      <c r="T332" s="107">
        <f t="shared" si="41"/>
        <v>0</v>
      </c>
      <c r="U332" s="107">
        <f t="shared" si="45"/>
        <v>87</v>
      </c>
      <c r="V332" s="107">
        <f t="shared" si="42"/>
        <v>0</v>
      </c>
    </row>
    <row r="333" spans="1:23" ht="36" customHeight="1" x14ac:dyDescent="0.3">
      <c r="A333" s="4" t="str">
        <f>Questions!$A333</f>
        <v>AILM-06</v>
      </c>
      <c r="B333" s="4" t="str">
        <f t="shared" si="43"/>
        <v>AILM</v>
      </c>
      <c r="C333" s="4" t="str">
        <f>VLOOKUP($A333,Questions!$A$3:$L$333,2,0)&amp;""</f>
        <v>Do you leverage LLM model tuning or other model validation mechanisms?</v>
      </c>
      <c r="D333" s="4" t="str">
        <f>VLOOKUP($A333,Questions!$A$3:$L$333,11,0)&amp;""</f>
        <v/>
      </c>
      <c r="E333" s="4" t="str">
        <f>VLOOKUP($A333,Questions!$A$3:$L$333,12,0)&amp;""</f>
        <v>AI</v>
      </c>
      <c r="F333" s="4" t="str">
        <f>VLOOKUP($A333,'Institution Evaluation'!$A$56:$K$345,3,0)&amp;""</f>
        <v/>
      </c>
      <c r="G333" s="4" t="str">
        <f>VLOOKUP($A333,'Institution Evaluation'!$A$56:$K$345,7,0)&amp;""</f>
        <v>Yes</v>
      </c>
      <c r="H333" s="4" t="str">
        <f>VLOOKUP($A333,'Institution Evaluation'!$A$56:$K$345,8,0)&amp;""</f>
        <v/>
      </c>
      <c r="I333" s="4" t="str">
        <f>VLOOKUP($A333,'Institution Evaluation'!$A$56:$K$345,9,0)&amp;""</f>
        <v>Standard Importance</v>
      </c>
      <c r="J333" s="4" t="str">
        <f>VLOOKUP($A333,'Institution Evaluation'!$A$56:$K$345,10,0)&amp;""</f>
        <v/>
      </c>
      <c r="K333" s="4">
        <f>IF($I333='Auto Responses'!$J$11,20,IF($I333='Auto Responses'!$J$13,5,10))</f>
        <v>10</v>
      </c>
      <c r="L333" s="107">
        <f>IF($E333='Auto Responses'!$L$13, 'Auto Responses'!$J$5,IF(AND($D333='Auto Responses'!$J$27,$H333=""),'Auto Responses'!$J$5,IF(AND($D333='Auto Responses'!$J$27,$H333='Auto Responses'!$J$7),1,IF(AND($D333='Auto Responses'!$J$27,$H333='Auto Responses'!$J$8),0,IF(OR(AND($F333=$G333,$H333=""),$H333='Auto Responses'!$J$7),1,0)))))</f>
        <v>0</v>
      </c>
      <c r="M333" s="4" t="str">
        <f>VLOOKUP($A333,'Institution Evaluation'!$A$56:$K$345,11,0)&amp;""</f>
        <v>FALSE</v>
      </c>
      <c r="N333" s="4">
        <f>IF($J333='Auto Responses'!$J$11,1,IF(AND($J333="",$I333='Auto Responses'!$J$11),1,0))</f>
        <v>0</v>
      </c>
      <c r="O333" s="107" t="str">
        <f>IF(OR($F$20='Auto Responses'!$J$4,$F$304='Auto Responses'!$J$4,$E333='Auto Responses'!$L$13,$F333='Auto Responses'!$J$5),'Auto Responses'!$J$5,IF($J333="",$K333,IF($J333='Auto Responses'!$J$13,5,IF($J333='Auto Responses'!$J$12,10,IF($J333='Auto Responses'!$J$11,20,0)))))</f>
        <v>N/A</v>
      </c>
      <c r="P333" s="107" t="str">
        <f>IF(OR($O333='Auto Responses'!$J$5,$L333='Auto Responses'!$J$5),'Auto Responses'!$J$5,$O333*$L333)</f>
        <v>N/A</v>
      </c>
      <c r="Q333" s="107">
        <f t="shared" si="39"/>
        <v>0</v>
      </c>
      <c r="R333" s="107">
        <f t="shared" si="44"/>
        <v>0</v>
      </c>
      <c r="S333" s="107">
        <f t="shared" si="40"/>
        <v>0</v>
      </c>
      <c r="T333" s="107">
        <f t="shared" si="41"/>
        <v>0</v>
      </c>
      <c r="U333" s="107">
        <f t="shared" si="45"/>
        <v>87</v>
      </c>
      <c r="V333" s="107">
        <f t="shared" si="42"/>
        <v>0</v>
      </c>
      <c r="W333" s="239" t="s">
        <v>1449</v>
      </c>
    </row>
    <row r="334" spans="1:23" ht="16.8" thickBot="1" x14ac:dyDescent="0.35">
      <c r="A334" s="3"/>
      <c r="B334" s="3"/>
      <c r="C334" s="3"/>
      <c r="D334" s="3"/>
      <c r="E334" s="3"/>
      <c r="F334" s="3"/>
      <c r="G334" s="3"/>
      <c r="H334" s="3"/>
      <c r="I334" s="3"/>
      <c r="J334" s="3"/>
      <c r="K334" s="3"/>
    </row>
    <row r="335" spans="1:23" ht="16.8" thickBot="1" x14ac:dyDescent="0.35">
      <c r="A335" s="3"/>
      <c r="B335" s="3"/>
      <c r="C335" s="3"/>
      <c r="D335" s="3"/>
      <c r="E335" s="3"/>
      <c r="F335" s="3"/>
      <c r="G335" s="3"/>
      <c r="H335" s="3"/>
      <c r="I335" s="3"/>
      <c r="J335" s="3"/>
      <c r="K335" s="3"/>
      <c r="Q335" s="160">
        <f>SUM($Q3:$Q334)</f>
        <v>0</v>
      </c>
      <c r="R335" s="161"/>
      <c r="S335" s="161"/>
      <c r="T335" s="162">
        <f>SUM($T3:$T334)</f>
        <v>87</v>
      </c>
    </row>
    <row r="336" spans="1:23" x14ac:dyDescent="0.3">
      <c r="A336" s="239" t="s">
        <v>1457</v>
      </c>
      <c r="B336" s="3"/>
      <c r="C336" s="3"/>
      <c r="D336" s="3"/>
      <c r="E336" s="3"/>
      <c r="F336" s="3"/>
      <c r="G336" s="3"/>
      <c r="H336" s="3"/>
      <c r="I336" s="3"/>
      <c r="J336" s="3"/>
      <c r="K336" s="3"/>
    </row>
    <row r="337" spans="1:11" hidden="1" x14ac:dyDescent="0.3">
      <c r="A337" s="3"/>
      <c r="B337" s="3"/>
      <c r="C337" s="3"/>
      <c r="D337" s="3"/>
      <c r="E337" s="3"/>
      <c r="F337" s="3"/>
      <c r="G337" s="3"/>
      <c r="H337" s="3"/>
      <c r="I337" s="3"/>
      <c r="J337" s="3"/>
      <c r="K337" s="3"/>
    </row>
    <row r="338" spans="1:11" hidden="1" x14ac:dyDescent="0.3">
      <c r="A338" s="3"/>
      <c r="B338" s="3"/>
      <c r="C338" s="3"/>
      <c r="D338" s="3"/>
      <c r="E338" s="3"/>
      <c r="F338" s="3"/>
      <c r="G338" s="3"/>
      <c r="H338" s="3"/>
      <c r="I338" s="3"/>
      <c r="J338" s="3"/>
      <c r="K338" s="3"/>
    </row>
    <row r="339" spans="1:11" hidden="1" x14ac:dyDescent="0.3">
      <c r="A339" s="3"/>
      <c r="B339" s="3"/>
      <c r="C339" s="3"/>
      <c r="D339" s="3"/>
      <c r="E339" s="3"/>
      <c r="F339" s="3"/>
      <c r="G339" s="3"/>
      <c r="H339" s="3"/>
      <c r="I339" s="3"/>
      <c r="J339" s="3"/>
      <c r="K339" s="3"/>
    </row>
    <row r="340" spans="1:11" hidden="1" x14ac:dyDescent="0.3">
      <c r="A340" s="3"/>
      <c r="B340" s="3"/>
      <c r="C340" s="3"/>
      <c r="D340" s="3"/>
      <c r="E340" s="3"/>
      <c r="F340" s="3"/>
      <c r="G340" s="3"/>
      <c r="H340" s="3"/>
      <c r="I340" s="3"/>
      <c r="J340" s="3"/>
      <c r="K340" s="3"/>
    </row>
    <row r="341" spans="1:11" hidden="1" x14ac:dyDescent="0.3">
      <c r="A341" s="3"/>
      <c r="B341" s="3"/>
      <c r="C341" s="3"/>
      <c r="D341" s="3"/>
      <c r="E341" s="3"/>
      <c r="F341" s="3"/>
      <c r="G341" s="3"/>
      <c r="H341" s="3"/>
      <c r="I341" s="3"/>
      <c r="J341" s="3"/>
      <c r="K341" s="3"/>
    </row>
    <row r="342" spans="1:11" hidden="1" x14ac:dyDescent="0.3">
      <c r="A342" s="3"/>
      <c r="B342" s="3"/>
      <c r="C342" s="3"/>
      <c r="D342" s="3"/>
      <c r="E342" s="3"/>
      <c r="F342" s="3"/>
      <c r="G342" s="3"/>
      <c r="H342" s="3"/>
      <c r="I342" s="3"/>
      <c r="J342" s="3"/>
      <c r="K342" s="3"/>
    </row>
    <row r="343" spans="1:11" hidden="1" x14ac:dyDescent="0.3">
      <c r="A343" s="3"/>
      <c r="B343" s="3"/>
      <c r="C343" s="3"/>
      <c r="D343" s="3"/>
      <c r="E343" s="3"/>
      <c r="F343" s="3"/>
      <c r="G343" s="3"/>
      <c r="H343" s="3"/>
      <c r="I343" s="3"/>
      <c r="J343" s="3"/>
      <c r="K343" s="3"/>
    </row>
    <row r="344" spans="1:11" hidden="1" x14ac:dyDescent="0.3">
      <c r="A344" s="3"/>
      <c r="B344" s="3"/>
      <c r="C344" s="3"/>
      <c r="D344" s="3"/>
      <c r="E344" s="3"/>
      <c r="F344" s="3"/>
      <c r="G344" s="3"/>
      <c r="H344" s="3"/>
      <c r="I344" s="3"/>
      <c r="J344" s="3"/>
      <c r="K344" s="3"/>
    </row>
    <row r="345" spans="1:11" hidden="1" x14ac:dyDescent="0.3">
      <c r="A345" s="3"/>
      <c r="B345" s="3"/>
      <c r="C345" s="3"/>
      <c r="D345" s="3"/>
      <c r="E345" s="3"/>
      <c r="F345" s="3"/>
      <c r="G345" s="3"/>
      <c r="H345" s="3"/>
      <c r="I345" s="3"/>
      <c r="J345" s="3"/>
      <c r="K345" s="3"/>
    </row>
    <row r="346" spans="1:11" hidden="1" x14ac:dyDescent="0.3">
      <c r="A346" s="3"/>
      <c r="B346" s="3"/>
      <c r="C346" s="3"/>
      <c r="D346" s="3"/>
      <c r="E346" s="3"/>
      <c r="F346" s="3"/>
      <c r="G346" s="3"/>
      <c r="H346" s="3"/>
      <c r="I346" s="3"/>
      <c r="J346" s="3"/>
      <c r="K346" s="3"/>
    </row>
    <row r="347" spans="1:11" hidden="1" x14ac:dyDescent="0.3">
      <c r="A347" s="3"/>
      <c r="B347" s="3"/>
      <c r="C347" s="3"/>
      <c r="D347" s="3"/>
      <c r="E347" s="3"/>
      <c r="F347" s="3"/>
      <c r="G347" s="3"/>
      <c r="H347" s="3"/>
      <c r="I347" s="3"/>
      <c r="J347" s="3"/>
      <c r="K347" s="3"/>
    </row>
    <row r="348" spans="1:11" hidden="1" x14ac:dyDescent="0.3">
      <c r="A348" s="3"/>
      <c r="B348" s="3"/>
      <c r="C348" s="3"/>
      <c r="D348" s="3"/>
      <c r="E348" s="3"/>
      <c r="F348" s="3"/>
      <c r="G348" s="3"/>
      <c r="H348" s="3"/>
      <c r="I348" s="3"/>
      <c r="J348" s="3"/>
      <c r="K348" s="3"/>
    </row>
    <row r="349" spans="1:11" hidden="1" x14ac:dyDescent="0.3">
      <c r="A349" s="3"/>
      <c r="B349" s="3"/>
      <c r="C349" s="3"/>
      <c r="D349" s="3"/>
      <c r="E349" s="3"/>
      <c r="F349" s="3"/>
      <c r="G349" s="3"/>
      <c r="H349" s="3"/>
      <c r="I349" s="3"/>
      <c r="J349" s="3"/>
      <c r="K349" s="3"/>
    </row>
    <row r="350" spans="1:11" hidden="1" x14ac:dyDescent="0.3">
      <c r="A350" s="3"/>
      <c r="B350" s="3"/>
      <c r="C350" s="3"/>
      <c r="D350" s="3"/>
      <c r="E350" s="3"/>
      <c r="F350" s="3"/>
      <c r="G350" s="3"/>
      <c r="H350" s="3"/>
      <c r="I350" s="3"/>
      <c r="J350" s="3"/>
      <c r="K350" s="3"/>
    </row>
    <row r="351" spans="1:11" hidden="1" x14ac:dyDescent="0.3">
      <c r="A351" s="3"/>
      <c r="B351" s="3"/>
      <c r="C351" s="3"/>
      <c r="D351" s="3"/>
      <c r="E351" s="3"/>
      <c r="F351" s="3"/>
      <c r="G351" s="3"/>
      <c r="H351" s="3"/>
      <c r="I351" s="3"/>
      <c r="J351" s="3"/>
      <c r="K351" s="3"/>
    </row>
    <row r="352" spans="1:11" hidden="1" x14ac:dyDescent="0.3">
      <c r="A352" s="3"/>
      <c r="B352" s="3"/>
      <c r="C352" s="3"/>
      <c r="D352" s="3"/>
      <c r="E352" s="3"/>
      <c r="F352" s="3"/>
      <c r="G352" s="3"/>
      <c r="H352" s="3"/>
      <c r="I352" s="3"/>
      <c r="J352" s="3"/>
      <c r="K352" s="3"/>
    </row>
    <row r="353" spans="1:11" hidden="1" x14ac:dyDescent="0.3">
      <c r="A353" s="3"/>
      <c r="B353" s="3"/>
      <c r="C353" s="3"/>
      <c r="D353" s="3"/>
      <c r="E353" s="3"/>
      <c r="F353" s="3"/>
      <c r="G353" s="3"/>
      <c r="H353" s="3"/>
      <c r="I353" s="3"/>
      <c r="J353" s="3"/>
      <c r="K353" s="3"/>
    </row>
    <row r="354" spans="1:11" hidden="1" x14ac:dyDescent="0.3">
      <c r="A354" s="3"/>
      <c r="B354" s="3"/>
      <c r="C354" s="3"/>
      <c r="D354" s="3"/>
      <c r="E354" s="3"/>
      <c r="F354" s="3"/>
      <c r="G354" s="3"/>
      <c r="H354" s="3"/>
      <c r="I354" s="3"/>
      <c r="J354" s="3"/>
      <c r="K354" s="3"/>
    </row>
    <row r="355" spans="1:11" hidden="1" x14ac:dyDescent="0.3">
      <c r="A355" s="3"/>
      <c r="B355" s="3"/>
      <c r="C355" s="3"/>
      <c r="D355" s="3"/>
      <c r="E355" s="3"/>
      <c r="F355" s="3"/>
      <c r="G355" s="3"/>
      <c r="H355" s="3"/>
      <c r="I355" s="3"/>
      <c r="J355" s="3"/>
      <c r="K355" s="3"/>
    </row>
    <row r="356" spans="1:11" hidden="1" x14ac:dyDescent="0.3">
      <c r="A356" s="3"/>
      <c r="B356" s="3"/>
      <c r="C356" s="3"/>
      <c r="D356" s="3"/>
      <c r="E356" s="3"/>
      <c r="F356" s="3"/>
      <c r="G356" s="3"/>
      <c r="H356" s="3"/>
      <c r="I356" s="3"/>
      <c r="J356" s="3"/>
      <c r="K356" s="3"/>
    </row>
    <row r="357" spans="1:11" hidden="1" x14ac:dyDescent="0.3">
      <c r="A357" s="3"/>
      <c r="B357" s="3"/>
      <c r="C357" s="3"/>
      <c r="D357" s="3"/>
      <c r="E357" s="3"/>
      <c r="F357" s="3"/>
      <c r="G357" s="3"/>
      <c r="H357" s="3"/>
      <c r="I357" s="3"/>
      <c r="J357" s="3"/>
      <c r="K357" s="3"/>
    </row>
    <row r="358" spans="1:11" hidden="1" x14ac:dyDescent="0.3">
      <c r="A358" s="3"/>
      <c r="B358" s="3"/>
      <c r="C358" s="3"/>
      <c r="D358" s="3"/>
      <c r="E358" s="3"/>
      <c r="F358" s="3"/>
      <c r="G358" s="3"/>
      <c r="H358" s="3"/>
      <c r="I358" s="3"/>
      <c r="J358" s="3"/>
      <c r="K358" s="3"/>
    </row>
    <row r="359" spans="1:11" hidden="1" x14ac:dyDescent="0.3">
      <c r="A359" s="3"/>
      <c r="B359" s="3"/>
      <c r="C359" s="3"/>
      <c r="D359" s="3"/>
      <c r="E359" s="3"/>
      <c r="F359" s="3"/>
      <c r="G359" s="3"/>
      <c r="H359" s="3"/>
      <c r="I359" s="3"/>
      <c r="J359" s="3"/>
      <c r="K359" s="3"/>
    </row>
    <row r="360" spans="1:11" hidden="1" x14ac:dyDescent="0.3">
      <c r="A360" s="3"/>
      <c r="B360" s="3"/>
      <c r="C360" s="3"/>
      <c r="D360" s="3"/>
      <c r="E360" s="3"/>
      <c r="F360" s="3"/>
      <c r="G360" s="3"/>
      <c r="H360" s="3"/>
      <c r="I360" s="3"/>
      <c r="J360" s="3"/>
      <c r="K360" s="3"/>
    </row>
    <row r="361" spans="1:11" hidden="1" x14ac:dyDescent="0.3">
      <c r="A361" s="3"/>
      <c r="B361" s="3"/>
      <c r="C361" s="3"/>
      <c r="D361" s="3"/>
      <c r="E361" s="3"/>
      <c r="F361" s="3"/>
      <c r="G361" s="3"/>
      <c r="H361" s="3"/>
      <c r="I361" s="3"/>
      <c r="J361" s="3"/>
      <c r="K361" s="3"/>
    </row>
    <row r="362" spans="1:11" hidden="1" x14ac:dyDescent="0.3">
      <c r="A362" s="3"/>
      <c r="B362" s="3"/>
      <c r="C362" s="3"/>
      <c r="D362" s="3"/>
      <c r="E362" s="3"/>
      <c r="F362" s="3"/>
      <c r="G362" s="3"/>
      <c r="H362" s="3"/>
      <c r="I362" s="3"/>
      <c r="J362" s="3"/>
      <c r="K362" s="3"/>
    </row>
    <row r="363" spans="1:11" hidden="1" x14ac:dyDescent="0.3">
      <c r="A363" s="3"/>
      <c r="B363" s="3"/>
      <c r="C363" s="3"/>
      <c r="D363" s="3"/>
      <c r="E363" s="3"/>
      <c r="F363" s="3"/>
      <c r="G363" s="3"/>
      <c r="H363" s="3"/>
      <c r="I363" s="3"/>
      <c r="J363" s="3"/>
      <c r="K363" s="3"/>
    </row>
    <row r="364" spans="1:11" hidden="1" x14ac:dyDescent="0.3">
      <c r="A364" s="3"/>
      <c r="B364" s="3"/>
      <c r="C364" s="3"/>
      <c r="D364" s="3"/>
      <c r="E364" s="3"/>
      <c r="F364" s="3"/>
      <c r="G364" s="3"/>
      <c r="H364" s="3"/>
      <c r="I364" s="3"/>
      <c r="J364" s="3"/>
      <c r="K364" s="3"/>
    </row>
    <row r="365" spans="1:11" hidden="1" x14ac:dyDescent="0.3">
      <c r="A365" s="3"/>
      <c r="B365" s="3"/>
      <c r="C365" s="3"/>
      <c r="D365" s="3"/>
      <c r="E365" s="3"/>
      <c r="F365" s="3"/>
      <c r="G365" s="3"/>
      <c r="H365" s="3"/>
      <c r="I365" s="3"/>
      <c r="J365" s="3"/>
      <c r="K365" s="3"/>
    </row>
    <row r="366" spans="1:11" hidden="1" x14ac:dyDescent="0.3">
      <c r="A366" s="3"/>
      <c r="B366" s="3"/>
      <c r="C366" s="3"/>
      <c r="D366" s="3"/>
      <c r="E366" s="3"/>
      <c r="F366" s="3"/>
      <c r="G366" s="3"/>
      <c r="H366" s="3"/>
      <c r="I366" s="3"/>
      <c r="J366" s="3"/>
      <c r="K366" s="3"/>
    </row>
    <row r="367" spans="1:11" hidden="1" x14ac:dyDescent="0.3">
      <c r="A367" s="3"/>
      <c r="B367" s="3"/>
      <c r="C367" s="3"/>
      <c r="D367" s="3"/>
      <c r="E367" s="3"/>
      <c r="F367" s="3"/>
      <c r="G367" s="3"/>
      <c r="H367" s="3"/>
      <c r="I367" s="3"/>
      <c r="J367" s="3"/>
      <c r="K367" s="3"/>
    </row>
    <row r="368" spans="1:11" hidden="1" x14ac:dyDescent="0.3">
      <c r="A368" s="3"/>
      <c r="B368" s="3"/>
      <c r="C368" s="3"/>
      <c r="D368" s="3"/>
      <c r="E368" s="3"/>
      <c r="F368" s="3"/>
      <c r="G368" s="3"/>
      <c r="H368" s="3"/>
      <c r="I368" s="3"/>
      <c r="J368" s="3"/>
      <c r="K368" s="3"/>
    </row>
    <row r="369" spans="1:11" hidden="1" x14ac:dyDescent="0.3">
      <c r="A369" s="3"/>
      <c r="B369" s="3"/>
      <c r="C369" s="3"/>
      <c r="D369" s="3"/>
      <c r="E369" s="3"/>
      <c r="F369" s="3"/>
      <c r="G369" s="3"/>
      <c r="H369" s="3"/>
      <c r="I369" s="3"/>
      <c r="J369" s="3"/>
      <c r="K369" s="3"/>
    </row>
    <row r="370" spans="1:11" hidden="1" x14ac:dyDescent="0.3">
      <c r="A370" s="3"/>
      <c r="B370" s="3"/>
      <c r="C370" s="3"/>
      <c r="D370" s="3"/>
      <c r="E370" s="3"/>
      <c r="F370" s="3"/>
      <c r="G370" s="3"/>
      <c r="H370" s="3"/>
      <c r="I370" s="3"/>
      <c r="J370" s="3"/>
      <c r="K370" s="3"/>
    </row>
    <row r="371" spans="1:11" hidden="1" x14ac:dyDescent="0.3">
      <c r="A371" s="3"/>
      <c r="B371" s="3"/>
      <c r="C371" s="3"/>
      <c r="D371" s="3"/>
      <c r="E371" s="3"/>
      <c r="F371" s="3"/>
      <c r="G371" s="3"/>
      <c r="H371" s="3"/>
      <c r="I371" s="3"/>
      <c r="J371" s="3"/>
      <c r="K371" s="3"/>
    </row>
    <row r="372" spans="1:11" hidden="1" x14ac:dyDescent="0.3">
      <c r="A372" s="3"/>
      <c r="B372" s="3"/>
      <c r="C372" s="3"/>
      <c r="D372" s="3"/>
      <c r="E372" s="3"/>
      <c r="F372" s="3"/>
      <c r="G372" s="3"/>
      <c r="H372" s="3"/>
      <c r="I372" s="3"/>
      <c r="J372" s="3"/>
      <c r="K372" s="3"/>
    </row>
    <row r="373" spans="1:11" hidden="1" x14ac:dyDescent="0.3">
      <c r="A373" s="3"/>
      <c r="B373" s="3"/>
      <c r="C373" s="3"/>
      <c r="D373" s="3"/>
      <c r="E373" s="3"/>
      <c r="F373" s="3"/>
      <c r="G373" s="3"/>
      <c r="H373" s="3"/>
      <c r="I373" s="3"/>
      <c r="J373" s="3"/>
      <c r="K373" s="3"/>
    </row>
    <row r="374" spans="1:11" hidden="1" x14ac:dyDescent="0.3">
      <c r="A374" s="3"/>
      <c r="B374" s="3"/>
      <c r="C374" s="3"/>
      <c r="D374" s="3"/>
      <c r="E374" s="3"/>
      <c r="F374" s="3"/>
      <c r="G374" s="3"/>
      <c r="H374" s="3"/>
      <c r="I374" s="3"/>
      <c r="J374" s="3"/>
      <c r="K374" s="3"/>
    </row>
    <row r="375" spans="1:11" hidden="1" x14ac:dyDescent="0.3">
      <c r="A375" s="3"/>
      <c r="B375" s="3"/>
      <c r="C375" s="3"/>
      <c r="D375" s="3"/>
      <c r="E375" s="3"/>
      <c r="F375" s="3"/>
      <c r="G375" s="3"/>
      <c r="H375" s="3"/>
      <c r="I375" s="3"/>
      <c r="J375" s="3"/>
      <c r="K375" s="3"/>
    </row>
    <row r="376" spans="1:11" hidden="1" x14ac:dyDescent="0.3">
      <c r="A376" s="3"/>
      <c r="B376" s="3"/>
      <c r="C376" s="3"/>
      <c r="D376" s="3"/>
      <c r="E376" s="3"/>
      <c r="F376" s="3"/>
      <c r="G376" s="3"/>
      <c r="H376" s="3"/>
      <c r="I376" s="3"/>
      <c r="J376" s="3"/>
      <c r="K376" s="3"/>
    </row>
    <row r="377" spans="1:11" hidden="1" x14ac:dyDescent="0.3">
      <c r="A377" s="3"/>
      <c r="B377" s="3"/>
      <c r="C377" s="3"/>
      <c r="D377" s="3"/>
      <c r="E377" s="3"/>
      <c r="F377" s="3"/>
      <c r="G377" s="3"/>
      <c r="H377" s="3"/>
      <c r="I377" s="3"/>
      <c r="J377" s="3"/>
      <c r="K377" s="3"/>
    </row>
    <row r="378" spans="1:11" hidden="1" x14ac:dyDescent="0.3">
      <c r="A378" s="3"/>
      <c r="B378" s="3"/>
      <c r="C378" s="3"/>
      <c r="D378" s="3"/>
      <c r="E378" s="3"/>
      <c r="F378" s="3"/>
      <c r="G378" s="3"/>
      <c r="H378" s="3"/>
      <c r="I378" s="3"/>
      <c r="J378" s="3"/>
      <c r="K378" s="3"/>
    </row>
    <row r="379" spans="1:11" hidden="1" x14ac:dyDescent="0.3">
      <c r="A379" s="3"/>
      <c r="B379" s="3"/>
      <c r="C379" s="3"/>
      <c r="D379" s="3"/>
      <c r="E379" s="3"/>
      <c r="F379" s="3"/>
      <c r="G379" s="3"/>
      <c r="H379" s="3"/>
      <c r="I379" s="3"/>
      <c r="J379" s="3"/>
      <c r="K379" s="3"/>
    </row>
    <row r="380" spans="1:11" hidden="1" x14ac:dyDescent="0.3">
      <c r="A380" s="3"/>
      <c r="B380" s="3"/>
      <c r="C380" s="3"/>
      <c r="D380" s="3"/>
      <c r="E380" s="3"/>
      <c r="F380" s="3"/>
      <c r="G380" s="3"/>
      <c r="H380" s="3"/>
      <c r="I380" s="3"/>
      <c r="J380" s="3"/>
      <c r="K380" s="3"/>
    </row>
    <row r="381" spans="1:11" hidden="1" x14ac:dyDescent="0.3">
      <c r="A381" s="3"/>
      <c r="B381" s="3"/>
      <c r="C381" s="3"/>
      <c r="D381" s="3"/>
      <c r="E381" s="3"/>
      <c r="F381" s="3"/>
      <c r="G381" s="3"/>
      <c r="H381" s="3"/>
      <c r="I381" s="3"/>
      <c r="J381" s="3"/>
      <c r="K381" s="3"/>
    </row>
    <row r="382" spans="1:11" hidden="1" x14ac:dyDescent="0.3">
      <c r="A382" s="3"/>
      <c r="B382" s="3"/>
      <c r="C382" s="3"/>
      <c r="D382" s="3"/>
      <c r="E382" s="3"/>
      <c r="F382" s="3"/>
      <c r="G382" s="3"/>
      <c r="H382" s="3"/>
      <c r="I382" s="3"/>
      <c r="J382" s="3"/>
      <c r="K382" s="3"/>
    </row>
    <row r="383" spans="1:11" hidden="1" x14ac:dyDescent="0.3">
      <c r="A383" s="3"/>
      <c r="B383" s="3"/>
      <c r="C383" s="3"/>
      <c r="D383" s="3"/>
      <c r="E383" s="3"/>
      <c r="F383" s="3"/>
      <c r="G383" s="3"/>
      <c r="H383" s="3"/>
      <c r="I383" s="3"/>
      <c r="J383" s="3"/>
      <c r="K383" s="3"/>
    </row>
    <row r="384" spans="1:11" hidden="1" x14ac:dyDescent="0.3">
      <c r="A384" s="3"/>
      <c r="B384" s="3"/>
      <c r="C384" s="3"/>
      <c r="D384" s="3"/>
      <c r="E384" s="3"/>
      <c r="F384" s="3"/>
      <c r="G384" s="3"/>
      <c r="H384" s="3"/>
      <c r="I384" s="3"/>
      <c r="J384" s="3"/>
      <c r="K384" s="3"/>
    </row>
    <row r="385" spans="1:11" hidden="1" x14ac:dyDescent="0.3">
      <c r="A385" s="3"/>
      <c r="B385" s="3"/>
      <c r="C385" s="3"/>
      <c r="D385" s="3"/>
      <c r="E385" s="3"/>
      <c r="F385" s="3"/>
      <c r="G385" s="3"/>
      <c r="H385" s="3"/>
      <c r="I385" s="3"/>
      <c r="J385" s="3"/>
      <c r="K385" s="3"/>
    </row>
    <row r="386" spans="1:11" hidden="1" x14ac:dyDescent="0.3">
      <c r="A386" s="3"/>
      <c r="B386" s="3"/>
      <c r="C386" s="3"/>
      <c r="D386" s="3"/>
      <c r="E386" s="3"/>
      <c r="F386" s="3"/>
      <c r="G386" s="3"/>
      <c r="H386" s="3"/>
      <c r="I386" s="3"/>
      <c r="J386" s="3"/>
      <c r="K386" s="3"/>
    </row>
    <row r="387" spans="1:11" hidden="1" x14ac:dyDescent="0.3">
      <c r="A387" s="3"/>
      <c r="B387" s="3"/>
      <c r="C387" s="3"/>
      <c r="D387" s="3"/>
      <c r="E387" s="3"/>
      <c r="F387" s="3"/>
      <c r="G387" s="3"/>
      <c r="H387" s="3"/>
      <c r="I387" s="3"/>
      <c r="J387" s="3"/>
      <c r="K387" s="3"/>
    </row>
    <row r="388" spans="1:11" hidden="1" x14ac:dyDescent="0.3">
      <c r="A388" s="3"/>
      <c r="B388" s="3"/>
      <c r="C388" s="3"/>
      <c r="D388" s="3"/>
      <c r="E388" s="3"/>
      <c r="F388" s="3"/>
      <c r="G388" s="3"/>
      <c r="H388" s="3"/>
      <c r="I388" s="3"/>
      <c r="J388" s="3"/>
      <c r="K388" s="3"/>
    </row>
    <row r="389" spans="1:11" hidden="1" x14ac:dyDescent="0.3">
      <c r="A389" s="3"/>
      <c r="B389" s="3"/>
      <c r="C389" s="3"/>
      <c r="D389" s="3"/>
      <c r="E389" s="3"/>
      <c r="F389" s="3"/>
      <c r="G389" s="3"/>
      <c r="H389" s="3"/>
      <c r="I389" s="3"/>
      <c r="J389" s="3"/>
      <c r="K389" s="3"/>
    </row>
    <row r="390" spans="1:11" hidden="1" x14ac:dyDescent="0.3">
      <c r="A390" s="3"/>
      <c r="B390" s="3"/>
      <c r="C390" s="3"/>
      <c r="D390" s="3"/>
      <c r="E390" s="3"/>
      <c r="F390" s="3"/>
      <c r="G390" s="3"/>
      <c r="H390" s="3"/>
      <c r="I390" s="3"/>
      <c r="J390" s="3"/>
      <c r="K390" s="3"/>
    </row>
    <row r="391" spans="1:11" hidden="1" x14ac:dyDescent="0.3">
      <c r="A391" s="3"/>
      <c r="B391" s="3"/>
      <c r="C391" s="3"/>
      <c r="D391" s="3"/>
      <c r="E391" s="3"/>
      <c r="F391" s="3"/>
      <c r="G391" s="3"/>
      <c r="H391" s="3"/>
      <c r="I391" s="3"/>
      <c r="J391" s="3"/>
      <c r="K391" s="3"/>
    </row>
    <row r="392" spans="1:11" hidden="1" x14ac:dyDescent="0.3">
      <c r="A392" s="3"/>
      <c r="B392" s="3"/>
      <c r="C392" s="3"/>
      <c r="D392" s="3"/>
      <c r="E392" s="3"/>
      <c r="F392" s="3"/>
      <c r="G392" s="3"/>
      <c r="H392" s="3"/>
      <c r="I392" s="3"/>
      <c r="J392" s="3"/>
      <c r="K392" s="3"/>
    </row>
    <row r="393" spans="1:11" hidden="1" x14ac:dyDescent="0.3">
      <c r="A393" s="3"/>
      <c r="B393" s="3"/>
      <c r="C393" s="3"/>
      <c r="D393" s="3"/>
      <c r="E393" s="3"/>
      <c r="F393" s="3"/>
      <c r="G393" s="3"/>
      <c r="H393" s="3"/>
      <c r="I393" s="3"/>
      <c r="J393" s="3"/>
      <c r="K393" s="3"/>
    </row>
    <row r="394" spans="1:11" hidden="1" x14ac:dyDescent="0.3">
      <c r="A394" s="3"/>
      <c r="B394" s="3"/>
      <c r="C394" s="3"/>
      <c r="D394" s="3"/>
      <c r="E394" s="3"/>
      <c r="F394" s="3"/>
      <c r="G394" s="3"/>
      <c r="H394" s="3"/>
      <c r="I394" s="3"/>
      <c r="J394" s="3"/>
      <c r="K394" s="3"/>
    </row>
    <row r="395" spans="1:11" hidden="1" x14ac:dyDescent="0.3">
      <c r="A395" s="3"/>
      <c r="B395" s="3"/>
      <c r="C395" s="3"/>
      <c r="D395" s="3"/>
      <c r="E395" s="3"/>
      <c r="F395" s="3"/>
      <c r="G395" s="3"/>
      <c r="H395" s="3"/>
      <c r="I395" s="3"/>
      <c r="J395" s="3"/>
      <c r="K395" s="3"/>
    </row>
    <row r="396" spans="1:11" hidden="1" x14ac:dyDescent="0.3">
      <c r="A396" s="3"/>
      <c r="B396" s="3"/>
      <c r="C396" s="3"/>
      <c r="D396" s="3"/>
      <c r="E396" s="3"/>
      <c r="F396" s="3"/>
      <c r="G396" s="3"/>
      <c r="H396" s="3"/>
      <c r="I396" s="3"/>
      <c r="J396" s="3"/>
      <c r="K396" s="3"/>
    </row>
    <row r="397" spans="1:11" hidden="1" x14ac:dyDescent="0.3">
      <c r="A397" s="3"/>
      <c r="B397" s="3"/>
      <c r="C397" s="3"/>
      <c r="D397" s="3"/>
      <c r="E397" s="3"/>
      <c r="F397" s="3"/>
      <c r="G397" s="3"/>
      <c r="H397" s="3"/>
      <c r="I397" s="3"/>
      <c r="J397" s="3"/>
      <c r="K397" s="3"/>
    </row>
    <row r="398" spans="1:11" hidden="1" x14ac:dyDescent="0.3">
      <c r="A398" s="3"/>
      <c r="B398" s="3"/>
      <c r="C398" s="3"/>
      <c r="D398" s="3"/>
      <c r="E398" s="3"/>
      <c r="F398" s="3"/>
      <c r="G398" s="3"/>
      <c r="H398" s="3"/>
      <c r="I398" s="3"/>
      <c r="J398" s="3"/>
      <c r="K398" s="3"/>
    </row>
    <row r="399" spans="1:11" hidden="1" x14ac:dyDescent="0.3">
      <c r="A399" s="3"/>
      <c r="B399" s="3"/>
      <c r="C399" s="3"/>
      <c r="D399" s="3"/>
      <c r="E399" s="3"/>
      <c r="F399" s="3"/>
      <c r="G399" s="3"/>
      <c r="H399" s="3"/>
      <c r="I399" s="3"/>
      <c r="J399" s="3"/>
      <c r="K399" s="3"/>
    </row>
    <row r="400" spans="1:11" hidden="1" x14ac:dyDescent="0.3">
      <c r="A400" s="3"/>
      <c r="B400" s="3"/>
      <c r="C400" s="3"/>
      <c r="D400" s="3"/>
      <c r="E400" s="3"/>
      <c r="F400" s="3"/>
      <c r="G400" s="3"/>
      <c r="H400" s="3"/>
      <c r="I400" s="3"/>
      <c r="J400" s="3"/>
      <c r="K400" s="3"/>
    </row>
    <row r="401" spans="1:11" hidden="1" x14ac:dyDescent="0.3">
      <c r="A401" s="3"/>
      <c r="B401" s="3"/>
      <c r="C401" s="3"/>
      <c r="D401" s="3"/>
      <c r="E401" s="3"/>
      <c r="F401" s="3"/>
      <c r="G401" s="3"/>
      <c r="H401" s="3"/>
      <c r="I401" s="3"/>
      <c r="J401" s="3"/>
      <c r="K401" s="3"/>
    </row>
    <row r="402" spans="1:11" hidden="1" x14ac:dyDescent="0.3">
      <c r="A402" s="3"/>
      <c r="B402" s="3"/>
      <c r="C402" s="3"/>
      <c r="D402" s="3"/>
      <c r="E402" s="3"/>
      <c r="F402" s="3"/>
      <c r="G402" s="3"/>
      <c r="H402" s="3"/>
      <c r="I402" s="3"/>
      <c r="J402" s="3"/>
      <c r="K402" s="3"/>
    </row>
    <row r="403" spans="1:11" hidden="1" x14ac:dyDescent="0.3">
      <c r="A403" s="3"/>
      <c r="B403" s="3"/>
      <c r="C403" s="3"/>
      <c r="D403" s="3"/>
      <c r="E403" s="3"/>
      <c r="F403" s="3"/>
      <c r="G403" s="3"/>
      <c r="H403" s="3"/>
      <c r="I403" s="3"/>
      <c r="J403" s="3"/>
      <c r="K403" s="3"/>
    </row>
    <row r="404" spans="1:11" hidden="1" x14ac:dyDescent="0.3">
      <c r="A404" s="3"/>
      <c r="B404" s="3"/>
      <c r="C404" s="3"/>
      <c r="D404" s="3"/>
      <c r="E404" s="3"/>
      <c r="F404" s="3"/>
      <c r="G404" s="3"/>
      <c r="H404" s="3"/>
      <c r="I404" s="3"/>
      <c r="J404" s="3"/>
      <c r="K404" s="3"/>
    </row>
    <row r="405" spans="1:11" hidden="1" x14ac:dyDescent="0.3">
      <c r="A405" s="3"/>
      <c r="B405" s="3"/>
      <c r="C405" s="3"/>
      <c r="D405" s="3"/>
      <c r="E405" s="3"/>
      <c r="F405" s="3"/>
      <c r="G405" s="3"/>
      <c r="H405" s="3"/>
      <c r="I405" s="3"/>
      <c r="J405" s="3"/>
      <c r="K405" s="3"/>
    </row>
    <row r="406" spans="1:11" hidden="1" x14ac:dyDescent="0.3">
      <c r="A406" s="3"/>
      <c r="B406" s="3"/>
      <c r="C406" s="3"/>
      <c r="D406" s="3"/>
      <c r="E406" s="3"/>
      <c r="F406" s="3"/>
      <c r="G406" s="3"/>
      <c r="H406" s="3"/>
      <c r="I406" s="3"/>
      <c r="J406" s="3"/>
      <c r="K406" s="3"/>
    </row>
    <row r="407" spans="1:11" hidden="1" x14ac:dyDescent="0.3">
      <c r="A407" s="3"/>
      <c r="B407" s="3"/>
      <c r="C407" s="3"/>
      <c r="D407" s="3"/>
      <c r="E407" s="3"/>
      <c r="F407" s="3"/>
      <c r="G407" s="3"/>
      <c r="H407" s="3"/>
      <c r="I407" s="3"/>
      <c r="J407" s="3"/>
      <c r="K407" s="3"/>
    </row>
    <row r="408" spans="1:11" hidden="1" x14ac:dyDescent="0.3">
      <c r="A408" s="3"/>
      <c r="B408" s="3"/>
      <c r="C408" s="3"/>
      <c r="D408" s="3"/>
      <c r="E408" s="3"/>
      <c r="F408" s="3"/>
      <c r="G408" s="3"/>
      <c r="H408" s="3"/>
      <c r="I408" s="3"/>
      <c r="J408" s="3"/>
      <c r="K408" s="3"/>
    </row>
    <row r="409" spans="1:11" hidden="1" x14ac:dyDescent="0.3">
      <c r="A409" s="3"/>
      <c r="B409" s="3"/>
      <c r="C409" s="3"/>
      <c r="D409" s="3"/>
      <c r="E409" s="3"/>
      <c r="F409" s="3"/>
      <c r="G409" s="3"/>
      <c r="H409" s="3"/>
      <c r="I409" s="3"/>
      <c r="J409" s="3"/>
      <c r="K409" s="3"/>
    </row>
    <row r="410" spans="1:11" hidden="1" x14ac:dyDescent="0.3">
      <c r="A410" s="3"/>
      <c r="B410" s="3"/>
      <c r="C410" s="3"/>
      <c r="D410" s="3"/>
      <c r="E410" s="3"/>
      <c r="F410" s="3"/>
      <c r="G410" s="3"/>
      <c r="H410" s="3"/>
      <c r="I410" s="3"/>
      <c r="J410" s="3"/>
      <c r="K410" s="3"/>
    </row>
    <row r="411" spans="1:11" hidden="1" x14ac:dyDescent="0.3">
      <c r="A411" s="3"/>
      <c r="B411" s="3"/>
      <c r="C411" s="3"/>
      <c r="D411" s="3"/>
      <c r="E411" s="3"/>
      <c r="F411" s="3"/>
      <c r="G411" s="3"/>
      <c r="H411" s="3"/>
      <c r="I411" s="3"/>
      <c r="J411" s="3"/>
      <c r="K411" s="3"/>
    </row>
    <row r="412" spans="1:11" hidden="1" x14ac:dyDescent="0.3">
      <c r="A412" s="3"/>
      <c r="B412" s="3"/>
      <c r="C412" s="3"/>
      <c r="D412" s="3"/>
      <c r="E412" s="3"/>
      <c r="F412" s="3"/>
      <c r="G412" s="3"/>
      <c r="H412" s="3"/>
      <c r="I412" s="3"/>
      <c r="J412" s="3"/>
      <c r="K412" s="3"/>
    </row>
    <row r="413" spans="1:11" hidden="1" x14ac:dyDescent="0.3">
      <c r="A413" s="3"/>
      <c r="B413" s="3"/>
      <c r="C413" s="3"/>
      <c r="D413" s="3"/>
      <c r="E413" s="3"/>
      <c r="F413" s="3"/>
      <c r="G413" s="3"/>
      <c r="H413" s="3"/>
      <c r="I413" s="3"/>
      <c r="J413" s="3"/>
      <c r="K413" s="3"/>
    </row>
    <row r="414" spans="1:11" hidden="1" x14ac:dyDescent="0.3">
      <c r="A414" s="3"/>
      <c r="B414" s="3"/>
      <c r="C414" s="3"/>
      <c r="D414" s="3"/>
      <c r="E414" s="3"/>
      <c r="F414" s="3"/>
      <c r="G414" s="3"/>
      <c r="H414" s="3"/>
      <c r="I414" s="3"/>
      <c r="J414" s="3"/>
      <c r="K414" s="3"/>
    </row>
    <row r="415" spans="1:11" hidden="1" x14ac:dyDescent="0.3">
      <c r="A415" s="3"/>
      <c r="B415" s="3"/>
      <c r="C415" s="3"/>
      <c r="D415" s="3"/>
      <c r="E415" s="3"/>
      <c r="F415" s="3"/>
      <c r="G415" s="3"/>
      <c r="H415" s="3"/>
      <c r="I415" s="3"/>
      <c r="J415" s="3"/>
      <c r="K415" s="3"/>
    </row>
    <row r="416" spans="1:11" hidden="1" x14ac:dyDescent="0.3">
      <c r="A416" s="3"/>
      <c r="B416" s="3"/>
      <c r="C416" s="3"/>
      <c r="D416" s="3"/>
      <c r="E416" s="3"/>
      <c r="F416" s="3"/>
      <c r="G416" s="3"/>
      <c r="H416" s="3"/>
      <c r="I416" s="3"/>
      <c r="J416" s="3"/>
      <c r="K416" s="3"/>
    </row>
    <row r="417" spans="1:11" hidden="1" x14ac:dyDescent="0.3">
      <c r="A417" s="3"/>
      <c r="B417" s="3"/>
      <c r="C417" s="3"/>
      <c r="D417" s="3"/>
      <c r="E417" s="3"/>
      <c r="F417" s="3"/>
      <c r="G417" s="3"/>
      <c r="H417" s="3"/>
      <c r="I417" s="3"/>
      <c r="J417" s="3"/>
      <c r="K417" s="3"/>
    </row>
    <row r="418" spans="1:11" hidden="1" x14ac:dyDescent="0.3">
      <c r="A418" s="3"/>
      <c r="B418" s="3"/>
      <c r="C418" s="3"/>
      <c r="D418" s="3"/>
      <c r="E418" s="3"/>
      <c r="F418" s="3"/>
      <c r="G418" s="3"/>
      <c r="H418" s="3"/>
      <c r="I418" s="3"/>
      <c r="J418" s="3"/>
      <c r="K418" s="3"/>
    </row>
    <row r="419" spans="1:11" hidden="1" x14ac:dyDescent="0.3">
      <c r="A419" s="3"/>
      <c r="B419" s="3"/>
      <c r="C419" s="3"/>
      <c r="D419" s="3"/>
      <c r="E419" s="3"/>
      <c r="F419" s="3"/>
      <c r="G419" s="3"/>
      <c r="H419" s="3"/>
      <c r="I419" s="3"/>
      <c r="J419" s="3"/>
      <c r="K419" s="3"/>
    </row>
    <row r="420" spans="1:11" hidden="1" x14ac:dyDescent="0.3">
      <c r="A420" s="3"/>
      <c r="B420" s="3"/>
      <c r="C420" s="3"/>
      <c r="D420" s="3"/>
      <c r="E420" s="3"/>
      <c r="F420" s="3"/>
      <c r="G420" s="3"/>
      <c r="H420" s="3"/>
      <c r="I420" s="3"/>
      <c r="J420" s="3"/>
      <c r="K420" s="3"/>
    </row>
    <row r="421" spans="1:11" hidden="1" x14ac:dyDescent="0.3">
      <c r="A421" s="3"/>
      <c r="B421" s="3"/>
      <c r="C421" s="3"/>
      <c r="D421" s="3"/>
      <c r="E421" s="3"/>
      <c r="F421" s="3"/>
      <c r="G421" s="3"/>
      <c r="H421" s="3"/>
      <c r="I421" s="3"/>
      <c r="J421" s="3"/>
      <c r="K421" s="3"/>
    </row>
    <row r="422" spans="1:11" hidden="1" x14ac:dyDescent="0.3">
      <c r="A422" s="3"/>
      <c r="B422" s="3"/>
      <c r="C422" s="3"/>
      <c r="D422" s="3"/>
      <c r="E422" s="3"/>
      <c r="F422" s="3"/>
      <c r="G422" s="3"/>
      <c r="H422" s="3"/>
      <c r="I422" s="3"/>
      <c r="J422" s="3"/>
      <c r="K422" s="3"/>
    </row>
    <row r="423" spans="1:11" hidden="1" x14ac:dyDescent="0.3">
      <c r="A423" s="3"/>
      <c r="B423" s="3"/>
      <c r="C423" s="3"/>
      <c r="D423" s="3"/>
      <c r="E423" s="3"/>
      <c r="F423" s="3"/>
      <c r="G423" s="3"/>
      <c r="H423" s="3"/>
      <c r="I423" s="3"/>
      <c r="J423" s="3"/>
      <c r="K423" s="3"/>
    </row>
    <row r="424" spans="1:11" hidden="1" x14ac:dyDescent="0.3">
      <c r="A424" s="3"/>
      <c r="B424" s="3"/>
      <c r="C424" s="3"/>
      <c r="D424" s="3"/>
      <c r="E424" s="3"/>
      <c r="F424" s="3"/>
      <c r="G424" s="3"/>
      <c r="H424" s="3"/>
      <c r="I424" s="3"/>
      <c r="J424" s="3"/>
      <c r="K424" s="3"/>
    </row>
    <row r="425" spans="1:11" hidden="1" x14ac:dyDescent="0.3">
      <c r="A425" s="3"/>
      <c r="B425" s="3"/>
      <c r="C425" s="3"/>
      <c r="D425" s="3"/>
      <c r="E425" s="3"/>
      <c r="F425" s="3"/>
      <c r="G425" s="3"/>
      <c r="H425" s="3"/>
      <c r="I425" s="3"/>
      <c r="J425" s="3"/>
      <c r="K425" s="3"/>
    </row>
    <row r="426" spans="1:11" hidden="1" x14ac:dyDescent="0.3">
      <c r="A426" s="3"/>
      <c r="B426" s="3"/>
      <c r="C426" s="3"/>
      <c r="D426" s="3"/>
      <c r="E426" s="3"/>
      <c r="F426" s="3"/>
      <c r="G426" s="3"/>
      <c r="H426" s="3"/>
      <c r="I426" s="3"/>
      <c r="J426" s="3"/>
      <c r="K426" s="3"/>
    </row>
    <row r="427" spans="1:11" hidden="1" x14ac:dyDescent="0.3">
      <c r="A427" s="3"/>
      <c r="B427" s="3"/>
      <c r="C427" s="3"/>
      <c r="D427" s="3"/>
      <c r="E427" s="3"/>
      <c r="F427" s="3"/>
      <c r="G427" s="3"/>
      <c r="H427" s="3"/>
      <c r="I427" s="3"/>
      <c r="J427" s="3"/>
      <c r="K427" s="3"/>
    </row>
    <row r="428" spans="1:11" hidden="1" x14ac:dyDescent="0.3">
      <c r="A428" s="3"/>
      <c r="B428" s="3"/>
      <c r="C428" s="3"/>
      <c r="D428" s="3"/>
      <c r="E428" s="3"/>
      <c r="F428" s="3"/>
      <c r="G428" s="3"/>
      <c r="H428" s="3"/>
      <c r="I428" s="3"/>
      <c r="J428" s="3"/>
      <c r="K428" s="3"/>
    </row>
    <row r="429" spans="1:11" hidden="1" x14ac:dyDescent="0.3">
      <c r="A429" s="3"/>
      <c r="B429" s="3"/>
      <c r="C429" s="3"/>
      <c r="D429" s="3"/>
      <c r="E429" s="3"/>
      <c r="F429" s="3"/>
      <c r="G429" s="3"/>
      <c r="H429" s="3"/>
      <c r="I429" s="3"/>
      <c r="J429" s="3"/>
      <c r="K429" s="3"/>
    </row>
    <row r="430" spans="1:11" hidden="1" x14ac:dyDescent="0.3">
      <c r="A430" s="3"/>
      <c r="B430" s="3"/>
      <c r="C430" s="3"/>
      <c r="D430" s="3"/>
      <c r="E430" s="3"/>
      <c r="F430" s="3"/>
      <c r="G430" s="3"/>
      <c r="H430" s="3"/>
      <c r="I430" s="3"/>
      <c r="J430" s="3"/>
      <c r="K430" s="3"/>
    </row>
    <row r="431" spans="1:11" hidden="1" x14ac:dyDescent="0.3">
      <c r="A431" s="3"/>
      <c r="B431" s="3"/>
      <c r="C431" s="3"/>
      <c r="D431" s="3"/>
      <c r="E431" s="3"/>
      <c r="F431" s="3"/>
      <c r="G431" s="3"/>
      <c r="H431" s="3"/>
      <c r="I431" s="3"/>
      <c r="J431" s="3"/>
      <c r="K431" s="3"/>
    </row>
    <row r="432" spans="1:11" hidden="1" x14ac:dyDescent="0.3">
      <c r="A432" s="3"/>
      <c r="B432" s="3"/>
      <c r="C432" s="3"/>
      <c r="D432" s="3"/>
      <c r="E432" s="3"/>
      <c r="F432" s="3"/>
      <c r="G432" s="3"/>
      <c r="H432" s="3"/>
      <c r="I432" s="3"/>
      <c r="J432" s="3"/>
      <c r="K432" s="3"/>
    </row>
    <row r="433" spans="1:11" hidden="1" x14ac:dyDescent="0.3">
      <c r="A433" s="3"/>
      <c r="B433" s="3"/>
      <c r="C433" s="3"/>
      <c r="D433" s="3"/>
      <c r="E433" s="3"/>
      <c r="F433" s="3"/>
      <c r="G433" s="3"/>
      <c r="H433" s="3"/>
      <c r="I433" s="3"/>
      <c r="J433" s="3"/>
      <c r="K433" s="3"/>
    </row>
    <row r="434" spans="1:11" hidden="1" x14ac:dyDescent="0.3">
      <c r="A434" s="3"/>
      <c r="B434" s="3"/>
      <c r="C434" s="3"/>
      <c r="D434" s="3"/>
      <c r="E434" s="3"/>
      <c r="F434" s="3"/>
      <c r="G434" s="3"/>
      <c r="H434" s="3"/>
      <c r="I434" s="3"/>
      <c r="J434" s="3"/>
      <c r="K434" s="3"/>
    </row>
    <row r="435" spans="1:11" hidden="1" x14ac:dyDescent="0.3">
      <c r="A435" s="3"/>
      <c r="B435" s="3"/>
      <c r="C435" s="3"/>
      <c r="D435" s="3"/>
      <c r="E435" s="3"/>
      <c r="F435" s="3"/>
      <c r="G435" s="3"/>
      <c r="H435" s="3"/>
      <c r="I435" s="3"/>
      <c r="J435" s="3"/>
      <c r="K435" s="3"/>
    </row>
    <row r="436" spans="1:11" hidden="1" x14ac:dyDescent="0.3">
      <c r="A436" s="3"/>
      <c r="B436" s="3"/>
      <c r="C436" s="3"/>
      <c r="D436" s="3"/>
      <c r="E436" s="3"/>
      <c r="F436" s="3"/>
      <c r="G436" s="3"/>
      <c r="H436" s="3"/>
      <c r="I436" s="3"/>
      <c r="J436" s="3"/>
      <c r="K436" s="3"/>
    </row>
    <row r="437" spans="1:11" hidden="1" x14ac:dyDescent="0.3">
      <c r="A437" s="3"/>
      <c r="B437" s="3"/>
      <c r="C437" s="3"/>
      <c r="D437" s="3"/>
      <c r="E437" s="3"/>
      <c r="F437" s="3"/>
      <c r="G437" s="3"/>
      <c r="H437" s="3"/>
      <c r="I437" s="3"/>
      <c r="J437" s="3"/>
      <c r="K437" s="3"/>
    </row>
    <row r="438" spans="1:11" hidden="1" x14ac:dyDescent="0.3">
      <c r="A438" s="3"/>
      <c r="B438" s="3"/>
      <c r="C438" s="3"/>
      <c r="D438" s="3"/>
      <c r="E438" s="3"/>
      <c r="F438" s="3"/>
      <c r="G438" s="3"/>
      <c r="H438" s="3"/>
      <c r="I438" s="3"/>
      <c r="J438" s="3"/>
      <c r="K438" s="3"/>
    </row>
    <row r="439" spans="1:11" hidden="1" x14ac:dyDescent="0.3">
      <c r="A439" s="3"/>
      <c r="B439" s="3"/>
      <c r="C439" s="3"/>
      <c r="D439" s="3"/>
      <c r="E439" s="3"/>
      <c r="F439" s="3"/>
      <c r="G439" s="3"/>
      <c r="H439" s="3"/>
      <c r="I439" s="3"/>
      <c r="J439" s="3"/>
      <c r="K439" s="3"/>
    </row>
    <row r="440" spans="1:11" hidden="1" x14ac:dyDescent="0.3">
      <c r="A440" s="3"/>
      <c r="B440" s="3"/>
      <c r="C440" s="3"/>
      <c r="D440" s="3"/>
      <c r="E440" s="3"/>
      <c r="F440" s="3"/>
      <c r="G440" s="3"/>
      <c r="H440" s="3"/>
      <c r="I440" s="3"/>
      <c r="J440" s="3"/>
      <c r="K440" s="3"/>
    </row>
    <row r="441" spans="1:11" hidden="1" x14ac:dyDescent="0.3">
      <c r="A441" s="3"/>
      <c r="B441" s="3"/>
      <c r="C441" s="3"/>
      <c r="D441" s="3"/>
      <c r="E441" s="3"/>
      <c r="F441" s="3"/>
      <c r="G441" s="3"/>
      <c r="H441" s="3"/>
      <c r="I441" s="3"/>
      <c r="J441" s="3"/>
      <c r="K441" s="3"/>
    </row>
    <row r="442" spans="1:11" hidden="1" x14ac:dyDescent="0.3">
      <c r="A442" s="3"/>
      <c r="B442" s="3"/>
      <c r="C442" s="3"/>
      <c r="D442" s="3"/>
      <c r="E442" s="3"/>
      <c r="F442" s="3"/>
      <c r="G442" s="3"/>
      <c r="H442" s="3"/>
      <c r="I442" s="3"/>
      <c r="J442" s="3"/>
      <c r="K442" s="3"/>
    </row>
    <row r="443" spans="1:11" hidden="1" x14ac:dyDescent="0.3">
      <c r="A443" s="3"/>
      <c r="B443" s="3"/>
      <c r="C443" s="3"/>
      <c r="D443" s="3"/>
      <c r="E443" s="3"/>
      <c r="F443" s="3"/>
      <c r="G443" s="3"/>
      <c r="H443" s="3"/>
      <c r="I443" s="3"/>
      <c r="J443" s="3"/>
      <c r="K443" s="3"/>
    </row>
    <row r="444" spans="1:11" hidden="1" x14ac:dyDescent="0.3">
      <c r="A444" s="3"/>
      <c r="B444" s="3"/>
      <c r="C444" s="3"/>
      <c r="D444" s="3"/>
      <c r="E444" s="3"/>
      <c r="F444" s="3"/>
      <c r="G444" s="3"/>
      <c r="H444" s="3"/>
      <c r="I444" s="3"/>
      <c r="J444" s="3"/>
      <c r="K444" s="3"/>
    </row>
    <row r="445" spans="1:11" hidden="1" x14ac:dyDescent="0.3">
      <c r="A445" s="3"/>
      <c r="B445" s="3"/>
      <c r="C445" s="3"/>
      <c r="D445" s="3"/>
      <c r="E445" s="3"/>
      <c r="F445" s="3"/>
      <c r="G445" s="3"/>
      <c r="H445" s="3"/>
      <c r="I445" s="3"/>
      <c r="J445" s="3"/>
      <c r="K445" s="3"/>
    </row>
    <row r="446" spans="1:11" hidden="1" x14ac:dyDescent="0.3">
      <c r="A446" s="3"/>
      <c r="B446" s="3"/>
      <c r="C446" s="3"/>
      <c r="D446" s="3"/>
      <c r="E446" s="3"/>
      <c r="F446" s="3"/>
      <c r="G446" s="3"/>
      <c r="H446" s="3"/>
      <c r="I446" s="3"/>
      <c r="J446" s="3"/>
      <c r="K446" s="3"/>
    </row>
    <row r="447" spans="1:11" hidden="1" x14ac:dyDescent="0.3">
      <c r="A447" s="3"/>
      <c r="B447" s="3"/>
      <c r="C447" s="3"/>
      <c r="D447" s="3"/>
      <c r="E447" s="3"/>
      <c r="F447" s="3"/>
      <c r="G447" s="3"/>
      <c r="H447" s="3"/>
      <c r="I447" s="3"/>
      <c r="J447" s="3"/>
      <c r="K447" s="3"/>
    </row>
    <row r="448" spans="1:11" hidden="1" x14ac:dyDescent="0.3">
      <c r="A448" s="3"/>
      <c r="B448" s="3"/>
      <c r="C448" s="3"/>
      <c r="D448" s="3"/>
      <c r="E448" s="3"/>
      <c r="F448" s="3"/>
      <c r="G448" s="3"/>
      <c r="H448" s="3"/>
      <c r="I448" s="3"/>
      <c r="J448" s="3"/>
      <c r="K448" s="3"/>
    </row>
    <row r="449" spans="1:11" hidden="1" x14ac:dyDescent="0.3">
      <c r="A449" s="3"/>
      <c r="B449" s="3"/>
      <c r="C449" s="3"/>
      <c r="D449" s="3"/>
      <c r="E449" s="3"/>
      <c r="F449" s="3"/>
      <c r="G449" s="3"/>
      <c r="H449" s="3"/>
      <c r="I449" s="3"/>
      <c r="J449" s="3"/>
      <c r="K449" s="3"/>
    </row>
    <row r="450" spans="1:11" hidden="1" x14ac:dyDescent="0.3">
      <c r="A450" s="3"/>
      <c r="B450" s="3"/>
      <c r="C450" s="3"/>
      <c r="D450" s="3"/>
      <c r="E450" s="3"/>
      <c r="F450" s="3"/>
      <c r="G450" s="3"/>
      <c r="H450" s="3"/>
      <c r="I450" s="3"/>
      <c r="J450" s="3"/>
      <c r="K450" s="3"/>
    </row>
    <row r="451" spans="1:11" hidden="1" x14ac:dyDescent="0.3">
      <c r="A451" s="3"/>
      <c r="B451" s="3"/>
      <c r="C451" s="3"/>
      <c r="D451" s="3"/>
      <c r="E451" s="3"/>
      <c r="F451" s="3"/>
      <c r="G451" s="3"/>
      <c r="H451" s="3"/>
      <c r="I451" s="3"/>
      <c r="J451" s="3"/>
      <c r="K451" s="3"/>
    </row>
    <row r="452" spans="1:11" hidden="1" x14ac:dyDescent="0.3">
      <c r="A452" s="3"/>
      <c r="B452" s="3"/>
      <c r="C452" s="3"/>
      <c r="D452" s="3"/>
      <c r="E452" s="3"/>
      <c r="F452" s="3"/>
      <c r="G452" s="3"/>
      <c r="H452" s="3"/>
      <c r="I452" s="3"/>
      <c r="J452" s="3"/>
      <c r="K452" s="3"/>
    </row>
    <row r="453" spans="1:11" hidden="1" x14ac:dyDescent="0.3">
      <c r="A453" s="3"/>
      <c r="B453" s="3"/>
      <c r="C453" s="3"/>
      <c r="D453" s="3"/>
      <c r="E453" s="3"/>
      <c r="F453" s="3"/>
      <c r="G453" s="3"/>
      <c r="H453" s="3"/>
      <c r="I453" s="3"/>
      <c r="J453" s="3"/>
      <c r="K453" s="3"/>
    </row>
    <row r="454" spans="1:11" hidden="1" x14ac:dyDescent="0.3">
      <c r="A454" s="3"/>
      <c r="B454" s="3"/>
      <c r="C454" s="3"/>
      <c r="D454" s="3"/>
      <c r="E454" s="3"/>
      <c r="F454" s="3"/>
      <c r="G454" s="3"/>
      <c r="H454" s="3"/>
      <c r="I454" s="3"/>
      <c r="J454" s="3"/>
      <c r="K454" s="3"/>
    </row>
    <row r="455" spans="1:11" hidden="1" x14ac:dyDescent="0.3">
      <c r="A455" s="3"/>
      <c r="B455" s="3"/>
      <c r="C455" s="3"/>
      <c r="D455" s="3"/>
      <c r="E455" s="3"/>
      <c r="F455" s="3"/>
      <c r="G455" s="3"/>
      <c r="H455" s="3"/>
      <c r="I455" s="3"/>
      <c r="J455" s="3"/>
      <c r="K455" s="3"/>
    </row>
    <row r="456" spans="1:11" hidden="1" x14ac:dyDescent="0.3">
      <c r="A456" s="3"/>
      <c r="B456" s="3"/>
      <c r="C456" s="3"/>
      <c r="D456" s="3"/>
      <c r="E456" s="3"/>
      <c r="F456" s="3"/>
      <c r="G456" s="3"/>
      <c r="H456" s="3"/>
      <c r="I456" s="3"/>
      <c r="J456" s="3"/>
      <c r="K456" s="3"/>
    </row>
    <row r="457" spans="1:11" hidden="1" x14ac:dyDescent="0.3">
      <c r="A457" s="3"/>
      <c r="B457" s="3"/>
      <c r="C457" s="3"/>
      <c r="D457" s="3"/>
      <c r="E457" s="3"/>
      <c r="F457" s="3"/>
      <c r="G457" s="3"/>
      <c r="H457" s="3"/>
      <c r="I457" s="3"/>
      <c r="J457" s="3"/>
      <c r="K457" s="3"/>
    </row>
    <row r="458" spans="1:11" hidden="1" x14ac:dyDescent="0.3">
      <c r="A458" s="3"/>
      <c r="B458" s="3"/>
      <c r="C458" s="3"/>
      <c r="D458" s="3"/>
      <c r="E458" s="3"/>
      <c r="F458" s="3"/>
      <c r="G458" s="3"/>
      <c r="H458" s="3"/>
      <c r="I458" s="3"/>
      <c r="J458" s="3"/>
      <c r="K458" s="3"/>
    </row>
    <row r="459" spans="1:11" hidden="1" x14ac:dyDescent="0.3">
      <c r="A459" s="3"/>
      <c r="B459" s="3"/>
      <c r="C459" s="3"/>
      <c r="D459" s="3"/>
      <c r="E459" s="3"/>
      <c r="F459" s="3"/>
      <c r="G459" s="3"/>
      <c r="H459" s="3"/>
      <c r="I459" s="3"/>
      <c r="J459" s="3"/>
      <c r="K459" s="3"/>
    </row>
    <row r="460" spans="1:11" hidden="1" x14ac:dyDescent="0.3">
      <c r="A460" s="3"/>
      <c r="B460" s="3"/>
      <c r="C460" s="3"/>
      <c r="D460" s="3"/>
      <c r="E460" s="3"/>
      <c r="F460" s="3"/>
      <c r="G460" s="3"/>
      <c r="H460" s="3"/>
      <c r="I460" s="3"/>
      <c r="J460" s="3"/>
      <c r="K460" s="3"/>
    </row>
    <row r="461" spans="1:11" hidden="1" x14ac:dyDescent="0.3">
      <c r="A461" s="3"/>
      <c r="B461" s="3"/>
      <c r="C461" s="3"/>
      <c r="D461" s="3"/>
      <c r="E461" s="3"/>
      <c r="F461" s="3"/>
      <c r="G461" s="3"/>
      <c r="H461" s="3"/>
      <c r="I461" s="3"/>
      <c r="J461" s="3"/>
      <c r="K461" s="3"/>
    </row>
    <row r="462" spans="1:11" hidden="1" x14ac:dyDescent="0.3">
      <c r="A462" s="3"/>
      <c r="B462" s="3"/>
      <c r="C462" s="3"/>
      <c r="D462" s="3"/>
      <c r="E462" s="3"/>
      <c r="F462" s="3"/>
      <c r="G462" s="3"/>
      <c r="H462" s="3"/>
      <c r="I462" s="3"/>
      <c r="J462" s="3"/>
      <c r="K462" s="3"/>
    </row>
    <row r="463" spans="1:11" hidden="1" x14ac:dyDescent="0.3">
      <c r="A463" s="3"/>
      <c r="B463" s="3"/>
      <c r="C463" s="3"/>
      <c r="D463" s="3"/>
      <c r="E463" s="3"/>
      <c r="F463" s="3"/>
      <c r="G463" s="3"/>
      <c r="H463" s="3"/>
      <c r="I463" s="3"/>
      <c r="J463" s="3"/>
      <c r="K463" s="3"/>
    </row>
    <row r="464" spans="1:11" hidden="1" x14ac:dyDescent="0.3">
      <c r="A464" s="3"/>
      <c r="B464" s="3"/>
      <c r="C464" s="3"/>
      <c r="D464" s="3"/>
      <c r="E464" s="3"/>
      <c r="F464" s="3"/>
      <c r="G464" s="3"/>
      <c r="H464" s="3"/>
      <c r="I464" s="3"/>
      <c r="J464" s="3"/>
      <c r="K464" s="3"/>
    </row>
    <row r="465" spans="1:11" hidden="1" x14ac:dyDescent="0.3">
      <c r="A465" s="3"/>
      <c r="B465" s="3"/>
      <c r="C465" s="3"/>
      <c r="D465" s="3"/>
      <c r="E465" s="3"/>
      <c r="F465" s="3"/>
      <c r="G465" s="3"/>
      <c r="H465" s="3"/>
      <c r="I465" s="3"/>
      <c r="J465" s="3"/>
      <c r="K465" s="3"/>
    </row>
    <row r="466" spans="1:11" hidden="1" x14ac:dyDescent="0.3">
      <c r="A466" s="3"/>
      <c r="B466" s="3"/>
      <c r="C466" s="3"/>
      <c r="D466" s="3"/>
      <c r="E466" s="3"/>
      <c r="F466" s="3"/>
      <c r="G466" s="3"/>
      <c r="H466" s="3"/>
      <c r="I466" s="3"/>
      <c r="J466" s="3"/>
      <c r="K466" s="3"/>
    </row>
    <row r="467" spans="1:11" hidden="1" x14ac:dyDescent="0.3">
      <c r="A467" s="3"/>
      <c r="B467" s="3"/>
      <c r="C467" s="3"/>
      <c r="D467" s="3"/>
      <c r="E467" s="3"/>
      <c r="F467" s="3"/>
      <c r="G467" s="3"/>
      <c r="H467" s="3"/>
      <c r="I467" s="3"/>
      <c r="J467" s="3"/>
      <c r="K467" s="3"/>
    </row>
    <row r="468" spans="1:11" hidden="1" x14ac:dyDescent="0.3">
      <c r="A468" s="3"/>
      <c r="B468" s="3"/>
      <c r="C468" s="3"/>
      <c r="D468" s="3"/>
      <c r="E468" s="3"/>
      <c r="F468" s="3"/>
      <c r="G468" s="3"/>
      <c r="H468" s="3"/>
      <c r="I468" s="3"/>
      <c r="J468" s="3"/>
      <c r="K468" s="3"/>
    </row>
    <row r="469" spans="1:11" hidden="1" x14ac:dyDescent="0.3">
      <c r="A469" s="3"/>
      <c r="B469" s="3"/>
      <c r="C469" s="3"/>
      <c r="D469" s="3"/>
      <c r="E469" s="3"/>
      <c r="F469" s="3"/>
      <c r="G469" s="3"/>
      <c r="H469" s="3"/>
      <c r="I469" s="3"/>
      <c r="J469" s="3"/>
      <c r="K469" s="3"/>
    </row>
    <row r="470" spans="1:11" hidden="1" x14ac:dyDescent="0.3">
      <c r="A470" s="3"/>
      <c r="B470" s="3"/>
      <c r="C470" s="3"/>
      <c r="D470" s="3"/>
      <c r="E470" s="3"/>
      <c r="F470" s="3"/>
      <c r="G470" s="3"/>
      <c r="H470" s="3"/>
      <c r="I470" s="3"/>
      <c r="J470" s="3"/>
      <c r="K470" s="3"/>
    </row>
    <row r="471" spans="1:11" hidden="1" x14ac:dyDescent="0.3">
      <c r="A471" s="3"/>
      <c r="B471" s="3"/>
      <c r="C471" s="3"/>
      <c r="D471" s="3"/>
      <c r="E471" s="3"/>
      <c r="F471" s="3"/>
      <c r="G471" s="3"/>
      <c r="H471" s="3"/>
      <c r="I471" s="3"/>
      <c r="J471" s="3"/>
      <c r="K471" s="3"/>
    </row>
    <row r="472" spans="1:11" hidden="1" x14ac:dyDescent="0.3">
      <c r="A472" s="3"/>
      <c r="B472" s="3"/>
      <c r="C472" s="3"/>
      <c r="D472" s="3"/>
      <c r="E472" s="3"/>
      <c r="F472" s="3"/>
      <c r="G472" s="3"/>
      <c r="H472" s="3"/>
      <c r="I472" s="3"/>
      <c r="J472" s="3"/>
      <c r="K472" s="3"/>
    </row>
    <row r="473" spans="1:11" hidden="1" x14ac:dyDescent="0.3">
      <c r="A473" s="3"/>
      <c r="B473" s="3"/>
      <c r="C473" s="3"/>
      <c r="D473" s="3"/>
      <c r="E473" s="3"/>
      <c r="F473" s="3"/>
      <c r="G473" s="3"/>
      <c r="H473" s="3"/>
      <c r="I473" s="3"/>
      <c r="J473" s="3"/>
      <c r="K473" s="3"/>
    </row>
    <row r="474" spans="1:11" hidden="1" x14ac:dyDescent="0.3">
      <c r="A474" s="3"/>
      <c r="B474" s="3"/>
      <c r="C474" s="3"/>
      <c r="D474" s="3"/>
      <c r="E474" s="3"/>
      <c r="F474" s="3"/>
      <c r="G474" s="3"/>
      <c r="H474" s="3"/>
      <c r="I474" s="3"/>
      <c r="J474" s="3"/>
      <c r="K474" s="3"/>
    </row>
    <row r="475" spans="1:11" hidden="1" x14ac:dyDescent="0.3">
      <c r="A475" s="3"/>
      <c r="B475" s="3"/>
      <c r="C475" s="3"/>
      <c r="D475" s="3"/>
      <c r="E475" s="3"/>
      <c r="F475" s="3"/>
      <c r="G475" s="3"/>
      <c r="H475" s="3"/>
      <c r="I475" s="3"/>
      <c r="J475" s="3"/>
      <c r="K475" s="3"/>
    </row>
    <row r="476" spans="1:11" hidden="1" x14ac:dyDescent="0.3">
      <c r="A476" s="3"/>
      <c r="B476" s="3"/>
      <c r="C476" s="3"/>
      <c r="D476" s="3"/>
      <c r="E476" s="3"/>
      <c r="F476" s="3"/>
      <c r="G476" s="3"/>
      <c r="H476" s="3"/>
      <c r="I476" s="3"/>
      <c r="J476" s="3"/>
      <c r="K476" s="3"/>
    </row>
    <row r="477" spans="1:11" hidden="1" x14ac:dyDescent="0.3">
      <c r="A477" s="3"/>
      <c r="B477" s="3"/>
      <c r="C477" s="3"/>
      <c r="D477" s="3"/>
      <c r="E477" s="3"/>
      <c r="F477" s="3"/>
      <c r="G477" s="3"/>
      <c r="H477" s="3"/>
      <c r="I477" s="3"/>
      <c r="J477" s="3"/>
      <c r="K477" s="3"/>
    </row>
    <row r="478" spans="1:11" hidden="1" x14ac:dyDescent="0.3">
      <c r="A478" s="3"/>
      <c r="B478" s="3"/>
      <c r="C478" s="3"/>
      <c r="D478" s="3"/>
      <c r="E478" s="3"/>
      <c r="F478" s="3"/>
      <c r="G478" s="3"/>
      <c r="H478" s="3"/>
      <c r="I478" s="3"/>
      <c r="J478" s="3"/>
      <c r="K478" s="3"/>
    </row>
    <row r="479" spans="1:11" hidden="1" x14ac:dyDescent="0.3">
      <c r="A479" s="3"/>
      <c r="B479" s="3"/>
      <c r="C479" s="3"/>
      <c r="D479" s="3"/>
      <c r="E479" s="3"/>
      <c r="F479" s="3"/>
      <c r="G479" s="3"/>
      <c r="H479" s="3"/>
      <c r="I479" s="3"/>
      <c r="J479" s="3"/>
      <c r="K479" s="3"/>
    </row>
    <row r="480" spans="1:11" hidden="1" x14ac:dyDescent="0.3">
      <c r="A480" s="3"/>
      <c r="B480" s="3"/>
      <c r="C480" s="3"/>
      <c r="D480" s="3"/>
      <c r="E480" s="3"/>
      <c r="F480" s="3"/>
      <c r="G480" s="3"/>
      <c r="H480" s="3"/>
      <c r="I480" s="3"/>
      <c r="J480" s="3"/>
      <c r="K480" s="3"/>
    </row>
    <row r="481" spans="1:11" hidden="1" x14ac:dyDescent="0.3">
      <c r="A481" s="3"/>
      <c r="B481" s="3"/>
      <c r="C481" s="3"/>
      <c r="D481" s="3"/>
      <c r="E481" s="3"/>
      <c r="F481" s="3"/>
      <c r="G481" s="3"/>
      <c r="H481" s="3"/>
      <c r="I481" s="3"/>
      <c r="J481" s="3"/>
      <c r="K481" s="3"/>
    </row>
    <row r="482" spans="1:11" hidden="1" x14ac:dyDescent="0.3">
      <c r="A482" s="3"/>
      <c r="B482" s="3"/>
      <c r="C482" s="3"/>
      <c r="D482" s="3"/>
      <c r="E482" s="3"/>
      <c r="F482" s="3"/>
      <c r="G482" s="3"/>
      <c r="H482" s="3"/>
      <c r="I482" s="3"/>
      <c r="J482" s="3"/>
      <c r="K482" s="3"/>
    </row>
    <row r="483" spans="1:11" hidden="1" x14ac:dyDescent="0.3">
      <c r="A483" s="3"/>
      <c r="B483" s="3"/>
      <c r="C483" s="3"/>
      <c r="D483" s="3"/>
      <c r="E483" s="3"/>
      <c r="F483" s="3"/>
      <c r="G483" s="3"/>
      <c r="H483" s="3"/>
      <c r="I483" s="3"/>
      <c r="J483" s="3"/>
      <c r="K483" s="3"/>
    </row>
    <row r="484" spans="1:11" hidden="1" x14ac:dyDescent="0.3">
      <c r="A484" s="3"/>
      <c r="B484" s="3"/>
      <c r="C484" s="3"/>
      <c r="D484" s="3"/>
      <c r="E484" s="3"/>
      <c r="F484" s="3"/>
      <c r="G484" s="3"/>
      <c r="H484" s="3"/>
      <c r="I484" s="3"/>
      <c r="J484" s="3"/>
      <c r="K484" s="3"/>
    </row>
    <row r="485" spans="1:11" hidden="1" x14ac:dyDescent="0.3">
      <c r="A485" s="3"/>
      <c r="B485" s="3"/>
      <c r="C485" s="3"/>
      <c r="D485" s="3"/>
      <c r="E485" s="3"/>
      <c r="F485" s="3"/>
      <c r="G485" s="3"/>
      <c r="H485" s="3"/>
      <c r="I485" s="3"/>
      <c r="J485" s="3"/>
      <c r="K485" s="3"/>
    </row>
    <row r="486" spans="1:11" hidden="1" x14ac:dyDescent="0.3">
      <c r="A486" s="3"/>
      <c r="B486" s="3"/>
      <c r="C486" s="3"/>
      <c r="D486" s="3"/>
      <c r="E486" s="3"/>
      <c r="F486" s="3"/>
      <c r="G486" s="3"/>
      <c r="H486" s="3"/>
      <c r="I486" s="3"/>
      <c r="J486" s="3"/>
      <c r="K486" s="3"/>
    </row>
    <row r="487" spans="1:11" hidden="1" x14ac:dyDescent="0.3">
      <c r="A487" s="3"/>
      <c r="B487" s="3"/>
      <c r="C487" s="3"/>
      <c r="D487" s="3"/>
      <c r="E487" s="3"/>
      <c r="F487" s="3"/>
      <c r="G487" s="3"/>
      <c r="H487" s="3"/>
      <c r="I487" s="3"/>
      <c r="J487" s="3"/>
      <c r="K487" s="3"/>
    </row>
    <row r="488" spans="1:11" hidden="1" x14ac:dyDescent="0.3">
      <c r="A488" s="3"/>
      <c r="B488" s="3"/>
      <c r="C488" s="3"/>
      <c r="D488" s="3"/>
      <c r="E488" s="3"/>
      <c r="F488" s="3"/>
      <c r="G488" s="3"/>
      <c r="H488" s="3"/>
      <c r="I488" s="3"/>
      <c r="J488" s="3"/>
      <c r="K488" s="3"/>
    </row>
    <row r="489" spans="1:11" hidden="1" x14ac:dyDescent="0.3">
      <c r="A489" s="3"/>
      <c r="B489" s="3"/>
      <c r="C489" s="3"/>
      <c r="D489" s="3"/>
      <c r="E489" s="3"/>
      <c r="F489" s="3"/>
      <c r="G489" s="3"/>
      <c r="H489" s="3"/>
      <c r="I489" s="3"/>
      <c r="J489" s="3"/>
      <c r="K489" s="3"/>
    </row>
    <row r="490" spans="1:11" hidden="1" x14ac:dyDescent="0.3">
      <c r="A490" s="3"/>
      <c r="B490" s="3"/>
      <c r="C490" s="3"/>
      <c r="D490" s="3"/>
      <c r="E490" s="3"/>
      <c r="F490" s="3"/>
      <c r="G490" s="3"/>
      <c r="H490" s="3"/>
      <c r="I490" s="3"/>
      <c r="J490" s="3"/>
      <c r="K490" s="3"/>
    </row>
    <row r="491" spans="1:11" hidden="1" x14ac:dyDescent="0.3">
      <c r="A491" s="3"/>
      <c r="B491" s="3"/>
      <c r="C491" s="3"/>
      <c r="D491" s="3"/>
      <c r="E491" s="3"/>
      <c r="F491" s="3"/>
      <c r="G491" s="3"/>
      <c r="H491" s="3"/>
      <c r="I491" s="3"/>
      <c r="J491" s="3"/>
      <c r="K491" s="3"/>
    </row>
    <row r="492" spans="1:11" hidden="1" x14ac:dyDescent="0.3">
      <c r="A492" s="3"/>
      <c r="B492" s="3"/>
      <c r="C492" s="3"/>
      <c r="D492" s="3"/>
      <c r="E492" s="3"/>
      <c r="F492" s="3"/>
      <c r="G492" s="3"/>
      <c r="H492" s="3"/>
      <c r="I492" s="3"/>
      <c r="J492" s="3"/>
      <c r="K492" s="3"/>
    </row>
    <row r="493" spans="1:11" hidden="1" x14ac:dyDescent="0.3">
      <c r="A493" s="3"/>
      <c r="B493" s="3"/>
      <c r="C493" s="3"/>
      <c r="D493" s="3"/>
      <c r="E493" s="3"/>
      <c r="F493" s="3"/>
      <c r="G493" s="3"/>
      <c r="H493" s="3"/>
      <c r="I493" s="3"/>
      <c r="J493" s="3"/>
      <c r="K493" s="3"/>
    </row>
    <row r="494" spans="1:11" hidden="1" x14ac:dyDescent="0.3">
      <c r="A494" s="3"/>
      <c r="B494" s="3"/>
      <c r="C494" s="3"/>
      <c r="D494" s="3"/>
      <c r="E494" s="3"/>
      <c r="F494" s="3"/>
      <c r="G494" s="3"/>
      <c r="H494" s="3"/>
      <c r="I494" s="3"/>
      <c r="J494" s="3"/>
      <c r="K494" s="3"/>
    </row>
    <row r="495" spans="1:11" hidden="1" x14ac:dyDescent="0.3">
      <c r="A495" s="3"/>
      <c r="B495" s="3"/>
      <c r="C495" s="3"/>
      <c r="D495" s="3"/>
      <c r="E495" s="3"/>
      <c r="F495" s="3"/>
      <c r="G495" s="3"/>
      <c r="H495" s="3"/>
      <c r="I495" s="3"/>
      <c r="J495" s="3"/>
      <c r="K495" s="3"/>
    </row>
    <row r="496" spans="1:11" hidden="1" x14ac:dyDescent="0.3">
      <c r="A496" s="3"/>
      <c r="B496" s="3"/>
      <c r="C496" s="3"/>
      <c r="D496" s="3"/>
      <c r="E496" s="3"/>
      <c r="F496" s="3"/>
      <c r="G496" s="3"/>
      <c r="H496" s="3"/>
      <c r="I496" s="3"/>
      <c r="J496" s="3"/>
      <c r="K496" s="3"/>
    </row>
    <row r="497" spans="1:11" hidden="1" x14ac:dyDescent="0.3">
      <c r="A497" s="3"/>
      <c r="B497" s="3"/>
      <c r="C497" s="3"/>
      <c r="D497" s="3"/>
      <c r="E497" s="3"/>
      <c r="F497" s="3"/>
      <c r="G497" s="3"/>
      <c r="H497" s="3"/>
      <c r="I497" s="3"/>
      <c r="J497" s="3"/>
      <c r="K497" s="3"/>
    </row>
    <row r="498" spans="1:11" hidden="1" x14ac:dyDescent="0.3">
      <c r="A498" s="3"/>
      <c r="B498" s="3"/>
      <c r="C498" s="3"/>
      <c r="D498" s="3"/>
      <c r="E498" s="3"/>
      <c r="F498" s="3"/>
      <c r="G498" s="3"/>
      <c r="H498" s="3"/>
      <c r="I498" s="3"/>
      <c r="J498" s="3"/>
      <c r="K498" s="3"/>
    </row>
    <row r="499" spans="1:11" hidden="1" x14ac:dyDescent="0.3">
      <c r="A499" s="3"/>
      <c r="B499" s="3"/>
      <c r="C499" s="3"/>
      <c r="D499" s="3"/>
      <c r="E499" s="3"/>
      <c r="F499" s="3"/>
      <c r="G499" s="3"/>
      <c r="H499" s="3"/>
      <c r="I499" s="3"/>
      <c r="J499" s="3"/>
      <c r="K499" s="3"/>
    </row>
    <row r="500" spans="1:11" hidden="1" x14ac:dyDescent="0.3">
      <c r="A500" s="3"/>
      <c r="B500" s="3"/>
      <c r="C500" s="3"/>
      <c r="D500" s="3"/>
      <c r="E500" s="3"/>
      <c r="F500" s="3"/>
      <c r="G500" s="3"/>
      <c r="H500" s="3"/>
      <c r="I500" s="3"/>
      <c r="J500" s="3"/>
      <c r="K500" s="3"/>
    </row>
    <row r="501" spans="1:11" hidden="1" x14ac:dyDescent="0.3">
      <c r="A501" s="3"/>
      <c r="B501" s="3"/>
      <c r="C501" s="3"/>
      <c r="D501" s="3"/>
      <c r="E501" s="3"/>
      <c r="F501" s="3"/>
      <c r="G501" s="3"/>
      <c r="H501" s="3"/>
      <c r="I501" s="3"/>
      <c r="J501" s="3"/>
      <c r="K501" s="3"/>
    </row>
    <row r="502" spans="1:11" hidden="1" x14ac:dyDescent="0.3">
      <c r="A502" s="3"/>
      <c r="B502" s="3"/>
      <c r="C502" s="3"/>
      <c r="D502" s="3"/>
      <c r="E502" s="3"/>
      <c r="F502" s="3"/>
      <c r="G502" s="3"/>
      <c r="H502" s="3"/>
      <c r="I502" s="3"/>
      <c r="J502" s="3"/>
      <c r="K502" s="3"/>
    </row>
    <row r="503" spans="1:11" hidden="1" x14ac:dyDescent="0.3">
      <c r="A503" s="3"/>
      <c r="B503" s="3"/>
      <c r="C503" s="3"/>
      <c r="D503" s="3"/>
      <c r="E503" s="3"/>
      <c r="F503" s="3"/>
      <c r="G503" s="3"/>
      <c r="H503" s="3"/>
      <c r="I503" s="3"/>
      <c r="J503" s="3"/>
      <c r="K503" s="3"/>
    </row>
    <row r="504" spans="1:11" hidden="1" x14ac:dyDescent="0.3">
      <c r="A504" s="3"/>
      <c r="B504" s="3"/>
      <c r="C504" s="3"/>
      <c r="D504" s="3"/>
      <c r="E504" s="3"/>
      <c r="F504" s="3"/>
      <c r="G504" s="3"/>
      <c r="H504" s="3"/>
      <c r="I504" s="3"/>
      <c r="J504" s="3"/>
      <c r="K504" s="3"/>
    </row>
    <row r="505" spans="1:11" hidden="1" x14ac:dyDescent="0.3">
      <c r="A505" s="3"/>
      <c r="B505" s="3"/>
      <c r="C505" s="3"/>
      <c r="D505" s="3"/>
      <c r="E505" s="3"/>
      <c r="F505" s="3"/>
      <c r="G505" s="3"/>
      <c r="H505" s="3"/>
      <c r="I505" s="3"/>
      <c r="J505" s="3"/>
      <c r="K505" s="3"/>
    </row>
    <row r="506" spans="1:11" hidden="1" x14ac:dyDescent="0.3">
      <c r="A506" s="3"/>
      <c r="B506" s="3"/>
      <c r="C506" s="3"/>
      <c r="D506" s="3"/>
      <c r="E506" s="3"/>
      <c r="F506" s="3"/>
      <c r="G506" s="3"/>
      <c r="H506" s="3"/>
      <c r="I506" s="3"/>
      <c r="J506" s="3"/>
      <c r="K506" s="3"/>
    </row>
    <row r="507" spans="1:11" hidden="1" x14ac:dyDescent="0.3">
      <c r="A507" s="3"/>
      <c r="B507" s="3"/>
      <c r="C507" s="3"/>
      <c r="D507" s="3"/>
      <c r="E507" s="3"/>
      <c r="F507" s="3"/>
      <c r="G507" s="3"/>
      <c r="H507" s="3"/>
      <c r="I507" s="3"/>
      <c r="J507" s="3"/>
      <c r="K507" s="3"/>
    </row>
    <row r="508" spans="1:11" hidden="1" x14ac:dyDescent="0.3">
      <c r="A508" s="3"/>
      <c r="B508" s="3"/>
      <c r="C508" s="3"/>
      <c r="D508" s="3"/>
      <c r="E508" s="3"/>
      <c r="F508" s="3"/>
      <c r="G508" s="3"/>
      <c r="H508" s="3"/>
      <c r="I508" s="3"/>
      <c r="J508" s="3"/>
      <c r="K508" s="3"/>
    </row>
    <row r="509" spans="1:11" hidden="1" x14ac:dyDescent="0.3">
      <c r="A509" s="3"/>
      <c r="B509" s="3"/>
      <c r="C509" s="3"/>
      <c r="D509" s="3"/>
      <c r="E509" s="3"/>
      <c r="F509" s="3"/>
      <c r="G509" s="3"/>
      <c r="H509" s="3"/>
      <c r="I509" s="3"/>
      <c r="J509" s="3"/>
      <c r="K509" s="3"/>
    </row>
    <row r="510" spans="1:11" hidden="1" x14ac:dyDescent="0.3">
      <c r="A510" s="3"/>
      <c r="B510" s="3"/>
      <c r="C510" s="3"/>
      <c r="D510" s="3"/>
      <c r="E510" s="3"/>
      <c r="F510" s="3"/>
      <c r="G510" s="3"/>
      <c r="H510" s="3"/>
      <c r="I510" s="3"/>
      <c r="J510" s="3"/>
      <c r="K510" s="3"/>
    </row>
    <row r="511" spans="1:11" hidden="1" x14ac:dyDescent="0.3">
      <c r="A511" s="3"/>
      <c r="B511" s="3"/>
      <c r="C511" s="3"/>
      <c r="D511" s="3"/>
      <c r="E511" s="3"/>
      <c r="F511" s="3"/>
      <c r="G511" s="3"/>
      <c r="H511" s="3"/>
      <c r="I511" s="3"/>
      <c r="J511" s="3"/>
      <c r="K511" s="3"/>
    </row>
    <row r="512" spans="1:11" hidden="1" x14ac:dyDescent="0.3">
      <c r="A512" s="3"/>
      <c r="B512" s="3"/>
      <c r="C512" s="3"/>
      <c r="D512" s="3"/>
      <c r="E512" s="3"/>
      <c r="F512" s="3"/>
      <c r="G512" s="3"/>
      <c r="H512" s="3"/>
      <c r="I512" s="3"/>
      <c r="J512" s="3"/>
      <c r="K512" s="3"/>
    </row>
    <row r="513" spans="1:11" hidden="1" x14ac:dyDescent="0.3">
      <c r="A513" s="3"/>
      <c r="B513" s="3"/>
      <c r="C513" s="3"/>
      <c r="D513" s="3"/>
      <c r="E513" s="3"/>
      <c r="F513" s="3"/>
      <c r="G513" s="3"/>
      <c r="H513" s="3"/>
      <c r="I513" s="3"/>
      <c r="J513" s="3"/>
      <c r="K513" s="3"/>
    </row>
    <row r="514" spans="1:11" hidden="1" x14ac:dyDescent="0.3">
      <c r="A514" s="3"/>
      <c r="B514" s="3"/>
      <c r="C514" s="3"/>
      <c r="D514" s="3"/>
      <c r="E514" s="3"/>
      <c r="F514" s="3"/>
      <c r="G514" s="3"/>
      <c r="H514" s="3"/>
      <c r="I514" s="3"/>
      <c r="J514" s="3"/>
      <c r="K514" s="3"/>
    </row>
    <row r="515" spans="1:11" hidden="1" x14ac:dyDescent="0.3">
      <c r="A515" s="3"/>
      <c r="B515" s="3"/>
      <c r="C515" s="3"/>
      <c r="D515" s="3"/>
      <c r="E515" s="3"/>
      <c r="F515" s="3"/>
      <c r="G515" s="3"/>
      <c r="H515" s="3"/>
      <c r="I515" s="3"/>
      <c r="J515" s="3"/>
      <c r="K515" s="3"/>
    </row>
    <row r="516" spans="1:11" hidden="1" x14ac:dyDescent="0.3">
      <c r="A516" s="3"/>
      <c r="B516" s="3"/>
      <c r="C516" s="3"/>
      <c r="D516" s="3"/>
      <c r="E516" s="3"/>
      <c r="F516" s="3"/>
      <c r="G516" s="3"/>
      <c r="H516" s="3"/>
      <c r="I516" s="3"/>
      <c r="J516" s="3"/>
      <c r="K516" s="3"/>
    </row>
    <row r="517" spans="1:11" hidden="1" x14ac:dyDescent="0.3">
      <c r="A517" s="3"/>
      <c r="B517" s="3"/>
      <c r="C517" s="3"/>
      <c r="D517" s="3"/>
      <c r="E517" s="3"/>
      <c r="F517" s="3"/>
      <c r="G517" s="3"/>
      <c r="H517" s="3"/>
      <c r="I517" s="3"/>
      <c r="J517" s="3"/>
      <c r="K517" s="3"/>
    </row>
    <row r="518" spans="1:11" hidden="1" x14ac:dyDescent="0.3">
      <c r="A518" s="3"/>
      <c r="B518" s="3"/>
      <c r="C518" s="3"/>
      <c r="D518" s="3"/>
      <c r="E518" s="3"/>
      <c r="F518" s="3"/>
      <c r="G518" s="3"/>
      <c r="H518" s="3"/>
      <c r="I518" s="3"/>
      <c r="J518" s="3"/>
      <c r="K518" s="3"/>
    </row>
    <row r="519" spans="1:11" hidden="1" x14ac:dyDescent="0.3">
      <c r="A519" s="3"/>
      <c r="B519" s="3"/>
      <c r="C519" s="3"/>
      <c r="D519" s="3"/>
      <c r="E519" s="3"/>
      <c r="F519" s="3"/>
      <c r="G519" s="3"/>
      <c r="H519" s="3"/>
      <c r="I519" s="3"/>
      <c r="J519" s="3"/>
      <c r="K519" s="3"/>
    </row>
    <row r="520" spans="1:11" hidden="1" x14ac:dyDescent="0.3">
      <c r="A520" s="3"/>
      <c r="B520" s="3"/>
      <c r="C520" s="3"/>
      <c r="D520" s="3"/>
      <c r="E520" s="3"/>
      <c r="F520" s="3"/>
      <c r="G520" s="3"/>
      <c r="H520" s="3"/>
      <c r="I520" s="3"/>
      <c r="J520" s="3"/>
      <c r="K520" s="3"/>
    </row>
    <row r="521" spans="1:11" hidden="1" x14ac:dyDescent="0.3">
      <c r="A521" s="3"/>
      <c r="B521" s="3"/>
      <c r="C521" s="3"/>
      <c r="D521" s="3"/>
      <c r="E521" s="3"/>
      <c r="F521" s="3"/>
      <c r="G521" s="3"/>
      <c r="H521" s="3"/>
      <c r="I521" s="3"/>
      <c r="J521" s="3"/>
      <c r="K521" s="3"/>
    </row>
    <row r="522" spans="1:11" hidden="1" x14ac:dyDescent="0.3">
      <c r="A522" s="3"/>
      <c r="B522" s="3"/>
      <c r="C522" s="3"/>
      <c r="D522" s="3"/>
      <c r="E522" s="3"/>
      <c r="F522" s="3"/>
      <c r="G522" s="3"/>
      <c r="H522" s="3"/>
      <c r="I522" s="3"/>
      <c r="J522" s="3"/>
      <c r="K522" s="3"/>
    </row>
    <row r="523" spans="1:11" hidden="1" x14ac:dyDescent="0.3">
      <c r="A523" s="3"/>
      <c r="B523" s="3"/>
      <c r="C523" s="3"/>
      <c r="D523" s="3"/>
      <c r="E523" s="3"/>
      <c r="F523" s="3"/>
      <c r="G523" s="3"/>
      <c r="H523" s="3"/>
      <c r="I523" s="3"/>
      <c r="J523" s="3"/>
      <c r="K523" s="3"/>
    </row>
    <row r="524" spans="1:11" hidden="1" x14ac:dyDescent="0.3">
      <c r="A524" s="3"/>
      <c r="B524" s="3"/>
      <c r="C524" s="3"/>
      <c r="D524" s="3"/>
      <c r="E524" s="3"/>
      <c r="F524" s="3"/>
      <c r="G524" s="3"/>
      <c r="H524" s="3"/>
      <c r="I524" s="3"/>
      <c r="J524" s="3"/>
      <c r="K524" s="3"/>
    </row>
    <row r="525" spans="1:11" hidden="1" x14ac:dyDescent="0.3">
      <c r="A525" s="3"/>
      <c r="B525" s="3"/>
      <c r="C525" s="3"/>
      <c r="D525" s="3"/>
      <c r="E525" s="3"/>
      <c r="F525" s="3"/>
      <c r="G525" s="3"/>
      <c r="H525" s="3"/>
      <c r="I525" s="3"/>
      <c r="J525" s="3"/>
      <c r="K525" s="3"/>
    </row>
    <row r="526" spans="1:11" hidden="1" x14ac:dyDescent="0.3">
      <c r="A526" s="3"/>
      <c r="B526" s="3"/>
      <c r="C526" s="3"/>
      <c r="D526" s="3"/>
      <c r="E526" s="3"/>
      <c r="F526" s="3"/>
      <c r="G526" s="3"/>
      <c r="H526" s="3"/>
      <c r="I526" s="3"/>
      <c r="J526" s="3"/>
      <c r="K526" s="3"/>
    </row>
    <row r="527" spans="1:11" hidden="1" x14ac:dyDescent="0.3">
      <c r="A527" s="3"/>
      <c r="B527" s="3"/>
      <c r="C527" s="3"/>
      <c r="D527" s="3"/>
      <c r="E527" s="3"/>
      <c r="F527" s="3"/>
      <c r="G527" s="3"/>
      <c r="H527" s="3"/>
      <c r="I527" s="3"/>
      <c r="J527" s="3"/>
      <c r="K527" s="3"/>
    </row>
    <row r="528" spans="1:11" hidden="1" x14ac:dyDescent="0.3">
      <c r="A528" s="3"/>
      <c r="B528" s="3"/>
      <c r="C528" s="3"/>
      <c r="D528" s="3"/>
      <c r="E528" s="3"/>
      <c r="F528" s="3"/>
      <c r="G528" s="3"/>
      <c r="H528" s="3"/>
      <c r="I528" s="3"/>
      <c r="J528" s="3"/>
      <c r="K528" s="3"/>
    </row>
    <row r="529" spans="1:11" hidden="1" x14ac:dyDescent="0.3">
      <c r="A529" s="3"/>
      <c r="B529" s="3"/>
      <c r="C529" s="3"/>
      <c r="D529" s="3"/>
      <c r="E529" s="3"/>
      <c r="F529" s="3"/>
      <c r="G529" s="3"/>
      <c r="H529" s="3"/>
      <c r="I529" s="3"/>
      <c r="J529" s="3"/>
      <c r="K529" s="3"/>
    </row>
    <row r="530" spans="1:11" hidden="1" x14ac:dyDescent="0.3">
      <c r="A530" s="3"/>
      <c r="B530" s="3"/>
      <c r="C530" s="3"/>
      <c r="D530" s="3"/>
      <c r="E530" s="3"/>
      <c r="F530" s="3"/>
      <c r="G530" s="3"/>
      <c r="H530" s="3"/>
      <c r="I530" s="3"/>
      <c r="J530" s="3"/>
      <c r="K530" s="3"/>
    </row>
    <row r="531" spans="1:11" hidden="1" x14ac:dyDescent="0.3">
      <c r="A531" s="3"/>
      <c r="B531" s="3"/>
      <c r="C531" s="3"/>
      <c r="D531" s="3"/>
      <c r="E531" s="3"/>
      <c r="F531" s="3"/>
      <c r="G531" s="3"/>
      <c r="H531" s="3"/>
      <c r="I531" s="3"/>
      <c r="J531" s="3"/>
      <c r="K531" s="3"/>
    </row>
    <row r="532" spans="1:11" hidden="1" x14ac:dyDescent="0.3">
      <c r="A532" s="3"/>
      <c r="B532" s="3"/>
      <c r="C532" s="3"/>
      <c r="D532" s="3"/>
      <c r="E532" s="3"/>
      <c r="F532" s="3"/>
      <c r="G532" s="3"/>
      <c r="H532" s="3"/>
      <c r="I532" s="3"/>
      <c r="J532" s="3"/>
      <c r="K532" s="3"/>
    </row>
    <row r="533" spans="1:11" hidden="1" x14ac:dyDescent="0.3">
      <c r="A533" s="3"/>
      <c r="B533" s="3"/>
      <c r="C533" s="3"/>
      <c r="D533" s="3"/>
      <c r="E533" s="3"/>
      <c r="F533" s="3"/>
      <c r="G533" s="3"/>
      <c r="H533" s="3"/>
      <c r="I533" s="3"/>
      <c r="J533" s="3"/>
      <c r="K533" s="3"/>
    </row>
    <row r="534" spans="1:11" hidden="1" x14ac:dyDescent="0.3">
      <c r="A534" s="3"/>
      <c r="B534" s="3"/>
      <c r="C534" s="3"/>
      <c r="D534" s="3"/>
      <c r="E534" s="3"/>
      <c r="F534" s="3"/>
      <c r="G534" s="3"/>
      <c r="H534" s="3"/>
      <c r="I534" s="3"/>
      <c r="J534" s="3"/>
      <c r="K534" s="3"/>
    </row>
    <row r="535" spans="1:11" hidden="1" x14ac:dyDescent="0.3">
      <c r="A535" s="3"/>
      <c r="B535" s="3"/>
      <c r="C535" s="3"/>
      <c r="D535" s="3"/>
      <c r="E535" s="3"/>
      <c r="F535" s="3"/>
      <c r="G535" s="3"/>
      <c r="H535" s="3"/>
      <c r="I535" s="3"/>
      <c r="J535" s="3"/>
      <c r="K535" s="3"/>
    </row>
    <row r="536" spans="1:11" hidden="1" x14ac:dyDescent="0.3">
      <c r="A536" s="3"/>
      <c r="B536" s="3"/>
      <c r="C536" s="3"/>
      <c r="D536" s="3"/>
      <c r="E536" s="3"/>
      <c r="F536" s="3"/>
      <c r="G536" s="3"/>
      <c r="H536" s="3"/>
      <c r="I536" s="3"/>
      <c r="J536" s="3"/>
      <c r="K536" s="3"/>
    </row>
    <row r="537" spans="1:11" hidden="1" x14ac:dyDescent="0.3">
      <c r="A537" s="3"/>
      <c r="B537" s="3"/>
      <c r="C537" s="3"/>
      <c r="D537" s="3"/>
      <c r="E537" s="3"/>
      <c r="F537" s="3"/>
      <c r="G537" s="3"/>
      <c r="H537" s="3"/>
      <c r="I537" s="3"/>
      <c r="J537" s="3"/>
      <c r="K537" s="3"/>
    </row>
    <row r="538" spans="1:11" hidden="1" x14ac:dyDescent="0.3">
      <c r="A538" s="3"/>
      <c r="B538" s="3"/>
      <c r="C538" s="3"/>
      <c r="D538" s="3"/>
      <c r="E538" s="3"/>
      <c r="F538" s="3"/>
      <c r="G538" s="3"/>
      <c r="H538" s="3"/>
      <c r="I538" s="3"/>
      <c r="J538" s="3"/>
      <c r="K538" s="3"/>
    </row>
    <row r="539" spans="1:11" hidden="1" x14ac:dyDescent="0.3">
      <c r="A539" s="3"/>
      <c r="B539" s="3"/>
      <c r="C539" s="3"/>
      <c r="D539" s="3"/>
      <c r="E539" s="3"/>
      <c r="F539" s="3"/>
      <c r="G539" s="3"/>
      <c r="H539" s="3"/>
      <c r="I539" s="3"/>
      <c r="J539" s="3"/>
      <c r="K539" s="3"/>
    </row>
    <row r="540" spans="1:11" hidden="1" x14ac:dyDescent="0.3">
      <c r="A540" s="3"/>
      <c r="B540" s="3"/>
      <c r="C540" s="3"/>
      <c r="D540" s="3"/>
      <c r="E540" s="3"/>
      <c r="F540" s="3"/>
      <c r="G540" s="3"/>
      <c r="H540" s="3"/>
      <c r="I540" s="3"/>
      <c r="J540" s="3"/>
      <c r="K540" s="3"/>
    </row>
    <row r="541" spans="1:11" hidden="1" x14ac:dyDescent="0.3">
      <c r="A541" s="3"/>
      <c r="B541" s="3"/>
      <c r="C541" s="3"/>
      <c r="D541" s="3"/>
      <c r="E541" s="3"/>
      <c r="F541" s="3"/>
      <c r="G541" s="3"/>
      <c r="H541" s="3"/>
      <c r="I541" s="3"/>
      <c r="J541" s="3"/>
      <c r="K541" s="3"/>
    </row>
    <row r="542" spans="1:11" hidden="1" x14ac:dyDescent="0.3">
      <c r="A542" s="3"/>
      <c r="B542" s="3"/>
      <c r="C542" s="3"/>
      <c r="D542" s="3"/>
      <c r="E542" s="3"/>
      <c r="F542" s="3"/>
      <c r="G542" s="3"/>
      <c r="H542" s="3"/>
      <c r="I542" s="3"/>
      <c r="J542" s="3"/>
      <c r="K542" s="3"/>
    </row>
    <row r="543" spans="1:11" hidden="1" x14ac:dyDescent="0.3">
      <c r="A543" s="3"/>
      <c r="B543" s="3"/>
      <c r="C543" s="3"/>
      <c r="D543" s="3"/>
      <c r="E543" s="3"/>
      <c r="F543" s="3"/>
      <c r="G543" s="3"/>
      <c r="H543" s="3"/>
      <c r="I543" s="3"/>
      <c r="J543" s="3"/>
      <c r="K543" s="3"/>
    </row>
    <row r="544" spans="1:11" hidden="1" x14ac:dyDescent="0.3">
      <c r="A544" s="3"/>
      <c r="B544" s="3"/>
      <c r="C544" s="3"/>
      <c r="D544" s="3"/>
      <c r="E544" s="3"/>
      <c r="F544" s="3"/>
      <c r="G544" s="3"/>
      <c r="H544" s="3"/>
      <c r="I544" s="3"/>
      <c r="J544" s="3"/>
      <c r="K544" s="3"/>
    </row>
    <row r="545" spans="1:11" hidden="1" x14ac:dyDescent="0.3">
      <c r="A545" s="3"/>
      <c r="B545" s="3"/>
      <c r="C545" s="3"/>
      <c r="D545" s="3"/>
      <c r="E545" s="3"/>
      <c r="F545" s="3"/>
      <c r="G545" s="3"/>
      <c r="H545" s="3"/>
      <c r="I545" s="3"/>
      <c r="J545" s="3"/>
      <c r="K545" s="3"/>
    </row>
    <row r="546" spans="1:11" hidden="1" x14ac:dyDescent="0.3">
      <c r="A546" s="3"/>
      <c r="B546" s="3"/>
      <c r="C546" s="3"/>
      <c r="D546" s="3"/>
      <c r="E546" s="3"/>
      <c r="F546" s="3"/>
      <c r="G546" s="3"/>
      <c r="H546" s="3"/>
      <c r="I546" s="3"/>
      <c r="J546" s="3"/>
      <c r="K546" s="3"/>
    </row>
    <row r="547" spans="1:11" hidden="1" x14ac:dyDescent="0.3">
      <c r="A547" s="3"/>
      <c r="B547" s="3"/>
      <c r="C547" s="3"/>
      <c r="D547" s="3"/>
      <c r="E547" s="3"/>
      <c r="F547" s="3"/>
      <c r="G547" s="3"/>
      <c r="H547" s="3"/>
      <c r="I547" s="3"/>
      <c r="J547" s="3"/>
      <c r="K547" s="3"/>
    </row>
    <row r="548" spans="1:11" hidden="1" x14ac:dyDescent="0.3">
      <c r="A548" s="3"/>
      <c r="B548" s="3"/>
      <c r="C548" s="3"/>
      <c r="D548" s="3"/>
      <c r="E548" s="3"/>
      <c r="F548" s="3"/>
      <c r="G548" s="3"/>
      <c r="H548" s="3"/>
      <c r="I548" s="3"/>
      <c r="J548" s="3"/>
      <c r="K548" s="3"/>
    </row>
    <row r="549" spans="1:11" hidden="1" x14ac:dyDescent="0.3">
      <c r="A549" s="3"/>
      <c r="B549" s="3"/>
      <c r="C549" s="3"/>
      <c r="D549" s="3"/>
      <c r="E549" s="3"/>
      <c r="F549" s="3"/>
      <c r="G549" s="3"/>
      <c r="H549" s="3"/>
      <c r="I549" s="3"/>
      <c r="J549" s="3"/>
      <c r="K549" s="3"/>
    </row>
    <row r="550" spans="1:11" hidden="1" x14ac:dyDescent="0.3">
      <c r="A550" s="3"/>
      <c r="B550" s="3"/>
      <c r="C550" s="3"/>
      <c r="D550" s="3"/>
      <c r="E550" s="3"/>
      <c r="F550" s="3"/>
      <c r="G550" s="3"/>
      <c r="H550" s="3"/>
      <c r="I550" s="3"/>
      <c r="J550" s="3"/>
      <c r="K550" s="3"/>
    </row>
    <row r="551" spans="1:11" hidden="1" x14ac:dyDescent="0.3">
      <c r="A551" s="3"/>
      <c r="B551" s="3"/>
      <c r="C551" s="3"/>
      <c r="D551" s="3"/>
      <c r="E551" s="3"/>
      <c r="F551" s="3"/>
      <c r="G551" s="3"/>
      <c r="H551" s="3"/>
      <c r="I551" s="3"/>
      <c r="J551" s="3"/>
      <c r="K551" s="3"/>
    </row>
    <row r="552" spans="1:11" hidden="1" x14ac:dyDescent="0.3">
      <c r="A552" s="3"/>
      <c r="B552" s="3"/>
      <c r="C552" s="3"/>
      <c r="D552" s="3"/>
      <c r="E552" s="3"/>
      <c r="F552" s="3"/>
      <c r="G552" s="3"/>
      <c r="H552" s="3"/>
      <c r="I552" s="3"/>
      <c r="J552" s="3"/>
      <c r="K552" s="3"/>
    </row>
    <row r="553" spans="1:11" hidden="1" x14ac:dyDescent="0.3">
      <c r="A553" s="3"/>
      <c r="B553" s="3"/>
      <c r="C553" s="3"/>
      <c r="D553" s="3"/>
      <c r="E553" s="3"/>
      <c r="F553" s="3"/>
      <c r="G553" s="3"/>
      <c r="H553" s="3"/>
      <c r="I553" s="3"/>
      <c r="J553" s="3"/>
      <c r="K553" s="3"/>
    </row>
    <row r="554" spans="1:11" hidden="1" x14ac:dyDescent="0.3">
      <c r="A554" s="3"/>
      <c r="B554" s="3"/>
      <c r="C554" s="3"/>
      <c r="D554" s="3"/>
      <c r="E554" s="3"/>
      <c r="F554" s="3"/>
      <c r="G554" s="3"/>
      <c r="H554" s="3"/>
      <c r="I554" s="3"/>
      <c r="J554" s="3"/>
      <c r="K554" s="3"/>
    </row>
    <row r="555" spans="1:11" hidden="1" x14ac:dyDescent="0.3">
      <c r="A555" s="3"/>
      <c r="B555" s="3"/>
      <c r="C555" s="3"/>
      <c r="D555" s="3"/>
      <c r="E555" s="3"/>
      <c r="F555" s="3"/>
      <c r="G555" s="3"/>
      <c r="H555" s="3"/>
      <c r="I555" s="3"/>
      <c r="J555" s="3"/>
      <c r="K555" s="3"/>
    </row>
    <row r="556" spans="1:11" hidden="1" x14ac:dyDescent="0.3">
      <c r="A556" s="3"/>
      <c r="B556" s="3"/>
      <c r="C556" s="3"/>
      <c r="D556" s="3"/>
      <c r="E556" s="3"/>
      <c r="F556" s="3"/>
      <c r="G556" s="3"/>
      <c r="H556" s="3"/>
      <c r="I556" s="3"/>
      <c r="J556" s="3"/>
      <c r="K556" s="3"/>
    </row>
    <row r="557" spans="1:11" hidden="1" x14ac:dyDescent="0.3">
      <c r="A557" s="3"/>
      <c r="B557" s="3"/>
      <c r="C557" s="3"/>
      <c r="D557" s="3"/>
      <c r="E557" s="3"/>
      <c r="F557" s="3"/>
      <c r="G557" s="3"/>
      <c r="H557" s="3"/>
      <c r="I557" s="3"/>
      <c r="J557" s="3"/>
      <c r="K557" s="3"/>
    </row>
    <row r="558" spans="1:11" hidden="1" x14ac:dyDescent="0.3">
      <c r="A558" s="3"/>
      <c r="B558" s="3"/>
      <c r="C558" s="3"/>
      <c r="D558" s="3"/>
      <c r="E558" s="3"/>
      <c r="F558" s="3"/>
      <c r="G558" s="3"/>
      <c r="H558" s="3"/>
      <c r="I558" s="3"/>
      <c r="J558" s="3"/>
      <c r="K558" s="3"/>
    </row>
    <row r="559" spans="1:11" hidden="1" x14ac:dyDescent="0.3">
      <c r="A559" s="3"/>
      <c r="B559" s="3"/>
      <c r="C559" s="3"/>
      <c r="D559" s="3"/>
      <c r="E559" s="3"/>
      <c r="F559" s="3"/>
      <c r="G559" s="3"/>
      <c r="H559" s="3"/>
      <c r="I559" s="3"/>
      <c r="J559" s="3"/>
      <c r="K559" s="3"/>
    </row>
    <row r="560" spans="1:11" hidden="1" x14ac:dyDescent="0.3">
      <c r="A560" s="3"/>
      <c r="B560" s="3"/>
      <c r="C560" s="3"/>
      <c r="D560" s="3"/>
      <c r="E560" s="3"/>
      <c r="F560" s="3"/>
      <c r="G560" s="3"/>
      <c r="H560" s="3"/>
      <c r="I560" s="3"/>
      <c r="J560" s="3"/>
      <c r="K560" s="3"/>
    </row>
    <row r="561" spans="1:11" hidden="1" x14ac:dyDescent="0.3">
      <c r="A561" s="3"/>
      <c r="B561" s="3"/>
      <c r="C561" s="3"/>
      <c r="D561" s="3"/>
      <c r="E561" s="3"/>
      <c r="F561" s="3"/>
      <c r="G561" s="3"/>
      <c r="H561" s="3"/>
      <c r="I561" s="3"/>
      <c r="J561" s="3"/>
      <c r="K561" s="3"/>
    </row>
    <row r="562" spans="1:11" hidden="1" x14ac:dyDescent="0.3">
      <c r="A562" s="3"/>
      <c r="B562" s="3"/>
      <c r="C562" s="3"/>
      <c r="D562" s="3"/>
      <c r="E562" s="3"/>
      <c r="F562" s="3"/>
      <c r="G562" s="3"/>
      <c r="H562" s="3"/>
      <c r="I562" s="3"/>
      <c r="J562" s="3"/>
      <c r="K562" s="3"/>
    </row>
    <row r="563" spans="1:11" hidden="1" x14ac:dyDescent="0.3">
      <c r="A563" s="3"/>
      <c r="B563" s="3"/>
      <c r="C563" s="3"/>
      <c r="D563" s="3"/>
      <c r="E563" s="3"/>
      <c r="F563" s="3"/>
      <c r="G563" s="3"/>
      <c r="H563" s="3"/>
      <c r="I563" s="3"/>
      <c r="J563" s="3"/>
      <c r="K563" s="3"/>
    </row>
    <row r="564" spans="1:11" hidden="1" x14ac:dyDescent="0.3">
      <c r="A564" s="3"/>
      <c r="B564" s="3"/>
      <c r="C564" s="3"/>
      <c r="D564" s="3"/>
      <c r="E564" s="3"/>
      <c r="F564" s="3"/>
      <c r="G564" s="3"/>
      <c r="H564" s="3"/>
      <c r="I564" s="3"/>
      <c r="J564" s="3"/>
      <c r="K564" s="3"/>
    </row>
    <row r="565" spans="1:11" hidden="1" x14ac:dyDescent="0.3">
      <c r="A565" s="3"/>
      <c r="B565" s="3"/>
      <c r="C565" s="3"/>
      <c r="D565" s="3"/>
      <c r="E565" s="3"/>
      <c r="F565" s="3"/>
      <c r="G565" s="3"/>
      <c r="H565" s="3"/>
      <c r="I565" s="3"/>
      <c r="J565" s="3"/>
      <c r="K565" s="3"/>
    </row>
    <row r="566" spans="1:11" hidden="1" x14ac:dyDescent="0.3">
      <c r="A566" s="3"/>
      <c r="B566" s="3"/>
      <c r="C566" s="3"/>
      <c r="D566" s="3"/>
      <c r="E566" s="3"/>
      <c r="F566" s="3"/>
      <c r="G566" s="3"/>
      <c r="H566" s="3"/>
      <c r="I566" s="3"/>
      <c r="J566" s="3"/>
      <c r="K566" s="3"/>
    </row>
    <row r="567" spans="1:11" hidden="1" x14ac:dyDescent="0.3">
      <c r="A567" s="3"/>
      <c r="B567" s="3"/>
      <c r="C567" s="3"/>
      <c r="D567" s="3"/>
      <c r="E567" s="3"/>
      <c r="F567" s="3"/>
      <c r="G567" s="3"/>
      <c r="H567" s="3"/>
      <c r="I567" s="3"/>
      <c r="J567" s="3"/>
      <c r="K567" s="3"/>
    </row>
    <row r="568" spans="1:11" hidden="1" x14ac:dyDescent="0.3">
      <c r="A568" s="3"/>
      <c r="B568" s="3"/>
      <c r="C568" s="3"/>
      <c r="D568" s="3"/>
      <c r="E568" s="3"/>
      <c r="F568" s="3"/>
      <c r="G568" s="3"/>
      <c r="H568" s="3"/>
      <c r="I568" s="3"/>
      <c r="J568" s="3"/>
      <c r="K568" s="3"/>
    </row>
    <row r="569" spans="1:11" hidden="1" x14ac:dyDescent="0.3">
      <c r="A569" s="3"/>
      <c r="B569" s="3"/>
      <c r="C569" s="3"/>
      <c r="D569" s="3"/>
      <c r="E569" s="3"/>
      <c r="F569" s="3"/>
      <c r="G569" s="3"/>
      <c r="H569" s="3"/>
      <c r="I569" s="3"/>
      <c r="J569" s="3"/>
      <c r="K569" s="3"/>
    </row>
    <row r="570" spans="1:11" hidden="1" x14ac:dyDescent="0.3">
      <c r="A570" s="3"/>
      <c r="B570" s="3"/>
      <c r="C570" s="3"/>
      <c r="D570" s="3"/>
      <c r="E570" s="3"/>
      <c r="F570" s="3"/>
      <c r="G570" s="3"/>
      <c r="H570" s="3"/>
      <c r="I570" s="3"/>
      <c r="J570" s="3"/>
      <c r="K570" s="3"/>
    </row>
    <row r="571" spans="1:11" hidden="1" x14ac:dyDescent="0.3">
      <c r="A571" s="3"/>
      <c r="B571" s="3"/>
      <c r="C571" s="3"/>
      <c r="D571" s="3"/>
      <c r="E571" s="3"/>
      <c r="F571" s="3"/>
      <c r="G571" s="3"/>
      <c r="H571" s="3"/>
      <c r="I571" s="3"/>
      <c r="J571" s="3"/>
      <c r="K571" s="3"/>
    </row>
    <row r="572" spans="1:11" hidden="1" x14ac:dyDescent="0.3">
      <c r="A572" s="3"/>
      <c r="B572" s="3"/>
      <c r="C572" s="3"/>
      <c r="D572" s="3"/>
      <c r="E572" s="3"/>
      <c r="F572" s="3"/>
      <c r="G572" s="3"/>
      <c r="H572" s="3"/>
      <c r="I572" s="3"/>
      <c r="J572" s="3"/>
      <c r="K572" s="3"/>
    </row>
    <row r="573" spans="1:11" hidden="1" x14ac:dyDescent="0.3">
      <c r="A573" s="3"/>
      <c r="B573" s="3"/>
      <c r="C573" s="3"/>
      <c r="D573" s="3"/>
      <c r="E573" s="3"/>
      <c r="F573" s="3"/>
      <c r="G573" s="3"/>
      <c r="H573" s="3"/>
      <c r="I573" s="3"/>
      <c r="J573" s="3"/>
      <c r="K573" s="3"/>
    </row>
    <row r="574" spans="1:11" hidden="1" x14ac:dyDescent="0.3">
      <c r="A574" s="3"/>
      <c r="B574" s="3"/>
      <c r="C574" s="3"/>
      <c r="D574" s="3"/>
      <c r="E574" s="3"/>
      <c r="F574" s="3"/>
      <c r="G574" s="3"/>
      <c r="H574" s="3"/>
      <c r="I574" s="3"/>
      <c r="J574" s="3"/>
      <c r="K574" s="3"/>
    </row>
    <row r="575" spans="1:11" hidden="1" x14ac:dyDescent="0.3">
      <c r="A575" s="3"/>
      <c r="B575" s="3"/>
      <c r="C575" s="3"/>
      <c r="D575" s="3"/>
      <c r="E575" s="3"/>
      <c r="F575" s="3"/>
      <c r="G575" s="3"/>
      <c r="H575" s="3"/>
      <c r="I575" s="3"/>
      <c r="J575" s="3"/>
      <c r="K575" s="3"/>
    </row>
    <row r="576" spans="1:11" hidden="1" x14ac:dyDescent="0.3">
      <c r="A576" s="3"/>
      <c r="B576" s="3"/>
      <c r="C576" s="3"/>
      <c r="D576" s="3"/>
      <c r="E576" s="3"/>
      <c r="F576" s="3"/>
      <c r="G576" s="3"/>
      <c r="H576" s="3"/>
      <c r="I576" s="3"/>
      <c r="J576" s="3"/>
      <c r="K576" s="3"/>
    </row>
    <row r="577" spans="1:11" hidden="1" x14ac:dyDescent="0.3">
      <c r="A577" s="3"/>
      <c r="B577" s="3"/>
      <c r="C577" s="3"/>
      <c r="D577" s="3"/>
      <c r="E577" s="3"/>
      <c r="F577" s="3"/>
      <c r="G577" s="3"/>
      <c r="H577" s="3"/>
      <c r="I577" s="3"/>
      <c r="J577" s="3"/>
      <c r="K577" s="3"/>
    </row>
    <row r="578" spans="1:11" hidden="1" x14ac:dyDescent="0.3">
      <c r="A578" s="3"/>
      <c r="B578" s="3"/>
      <c r="C578" s="3"/>
      <c r="D578" s="3"/>
      <c r="E578" s="3"/>
      <c r="F578" s="3"/>
      <c r="G578" s="3"/>
      <c r="H578" s="3"/>
      <c r="I578" s="3"/>
      <c r="J578" s="3"/>
      <c r="K578" s="3"/>
    </row>
    <row r="579" spans="1:11" hidden="1" x14ac:dyDescent="0.3">
      <c r="A579" s="3"/>
      <c r="B579" s="3"/>
      <c r="C579" s="3"/>
      <c r="D579" s="3"/>
      <c r="E579" s="3"/>
      <c r="F579" s="3"/>
      <c r="G579" s="3"/>
      <c r="H579" s="3"/>
      <c r="I579" s="3"/>
      <c r="J579" s="3"/>
      <c r="K579" s="3"/>
    </row>
    <row r="580" spans="1:11" hidden="1" x14ac:dyDescent="0.3">
      <c r="A580" s="3"/>
      <c r="B580" s="3"/>
      <c r="C580" s="3"/>
      <c r="D580" s="3"/>
      <c r="E580" s="3"/>
      <c r="F580" s="3"/>
      <c r="G580" s="3"/>
      <c r="H580" s="3"/>
      <c r="I580" s="3"/>
      <c r="J580" s="3"/>
      <c r="K580" s="3"/>
    </row>
    <row r="581" spans="1:11" hidden="1" x14ac:dyDescent="0.3">
      <c r="A581" s="3"/>
      <c r="B581" s="3"/>
      <c r="C581" s="3"/>
      <c r="D581" s="3"/>
      <c r="E581" s="3"/>
      <c r="F581" s="3"/>
      <c r="G581" s="3"/>
      <c r="H581" s="3"/>
      <c r="I581" s="3"/>
      <c r="J581" s="3"/>
      <c r="K581" s="3"/>
    </row>
    <row r="582" spans="1:11" hidden="1" x14ac:dyDescent="0.3">
      <c r="A582" s="3"/>
      <c r="B582" s="3"/>
      <c r="C582" s="3"/>
      <c r="D582" s="3"/>
      <c r="E582" s="3"/>
      <c r="F582" s="3"/>
      <c r="G582" s="3"/>
      <c r="H582" s="3"/>
      <c r="I582" s="3"/>
      <c r="J582" s="3"/>
      <c r="K582" s="3"/>
    </row>
    <row r="583" spans="1:11" hidden="1" x14ac:dyDescent="0.3">
      <c r="A583" s="3"/>
      <c r="B583" s="3"/>
      <c r="C583" s="3"/>
      <c r="D583" s="3"/>
      <c r="E583" s="3"/>
      <c r="F583" s="3"/>
      <c r="G583" s="3"/>
      <c r="H583" s="3"/>
      <c r="I583" s="3"/>
      <c r="J583" s="3"/>
      <c r="K583" s="3"/>
    </row>
    <row r="584" spans="1:11" hidden="1" x14ac:dyDescent="0.3">
      <c r="A584" s="3"/>
      <c r="B584" s="3"/>
      <c r="C584" s="3"/>
      <c r="D584" s="3"/>
      <c r="E584" s="3"/>
      <c r="F584" s="3"/>
      <c r="G584" s="3"/>
      <c r="H584" s="3"/>
      <c r="I584" s="3"/>
      <c r="J584" s="3"/>
      <c r="K584" s="3"/>
    </row>
    <row r="585" spans="1:11" hidden="1" x14ac:dyDescent="0.3">
      <c r="A585" s="3"/>
      <c r="B585" s="3"/>
      <c r="C585" s="3"/>
      <c r="D585" s="3"/>
      <c r="E585" s="3"/>
      <c r="F585" s="3"/>
      <c r="G585" s="3"/>
      <c r="H585" s="3"/>
      <c r="I585" s="3"/>
      <c r="J585" s="3"/>
      <c r="K585" s="3"/>
    </row>
    <row r="586" spans="1:11" hidden="1" x14ac:dyDescent="0.3">
      <c r="A586" s="3"/>
      <c r="B586" s="3"/>
      <c r="C586" s="3"/>
      <c r="D586" s="3"/>
      <c r="E586" s="3"/>
      <c r="F586" s="3"/>
      <c r="G586" s="3"/>
      <c r="H586" s="3"/>
      <c r="I586" s="3"/>
      <c r="J586" s="3"/>
      <c r="K586" s="3"/>
    </row>
    <row r="587" spans="1:11" hidden="1" x14ac:dyDescent="0.3">
      <c r="A587" s="3"/>
      <c r="B587" s="3"/>
      <c r="C587" s="3"/>
      <c r="D587" s="3"/>
      <c r="E587" s="3"/>
      <c r="F587" s="3"/>
      <c r="G587" s="3"/>
      <c r="H587" s="3"/>
      <c r="I587" s="3"/>
      <c r="J587" s="3"/>
      <c r="K587" s="3"/>
    </row>
    <row r="588" spans="1:11" hidden="1" x14ac:dyDescent="0.3">
      <c r="A588" s="3"/>
      <c r="B588" s="3"/>
      <c r="C588" s="3"/>
      <c r="D588" s="3"/>
      <c r="E588" s="3"/>
      <c r="F588" s="3"/>
      <c r="G588" s="3"/>
      <c r="H588" s="3"/>
      <c r="I588" s="3"/>
      <c r="J588" s="3"/>
      <c r="K588" s="3"/>
    </row>
    <row r="589" spans="1:11" hidden="1" x14ac:dyDescent="0.3">
      <c r="A589" s="3"/>
      <c r="B589" s="3"/>
      <c r="C589" s="3"/>
      <c r="D589" s="3"/>
      <c r="E589" s="3"/>
      <c r="F589" s="3"/>
      <c r="G589" s="3"/>
      <c r="H589" s="3"/>
      <c r="I589" s="3"/>
      <c r="J589" s="3"/>
      <c r="K589" s="3"/>
    </row>
    <row r="590" spans="1:11" hidden="1" x14ac:dyDescent="0.3">
      <c r="A590" s="3"/>
      <c r="B590" s="3"/>
      <c r="C590" s="3"/>
      <c r="D590" s="3"/>
      <c r="E590" s="3"/>
      <c r="F590" s="3"/>
      <c r="G590" s="3"/>
      <c r="H590" s="3"/>
      <c r="I590" s="3"/>
      <c r="J590" s="3"/>
      <c r="K590" s="3"/>
    </row>
    <row r="591" spans="1:11" hidden="1" x14ac:dyDescent="0.3">
      <c r="A591" s="3"/>
      <c r="B591" s="3"/>
      <c r="C591" s="3"/>
      <c r="D591" s="3"/>
      <c r="E591" s="3"/>
      <c r="F591" s="3"/>
      <c r="G591" s="3"/>
      <c r="H591" s="3"/>
      <c r="I591" s="3"/>
      <c r="J591" s="3"/>
      <c r="K591" s="3"/>
    </row>
    <row r="592" spans="1:11" hidden="1" x14ac:dyDescent="0.3">
      <c r="A592" s="3"/>
      <c r="B592" s="3"/>
      <c r="C592" s="3"/>
      <c r="D592" s="3"/>
      <c r="E592" s="3"/>
      <c r="F592" s="3"/>
      <c r="G592" s="3"/>
      <c r="H592" s="3"/>
      <c r="I592" s="3"/>
      <c r="J592" s="3"/>
      <c r="K592" s="3"/>
    </row>
    <row r="593" spans="1:11" hidden="1" x14ac:dyDescent="0.3">
      <c r="A593" s="3"/>
      <c r="B593" s="3"/>
      <c r="C593" s="3"/>
      <c r="D593" s="3"/>
      <c r="E593" s="3"/>
      <c r="F593" s="3"/>
      <c r="G593" s="3"/>
      <c r="H593" s="3"/>
      <c r="I593" s="3"/>
      <c r="J593" s="3"/>
      <c r="K593" s="3"/>
    </row>
    <row r="594" spans="1:11" hidden="1" x14ac:dyDescent="0.3">
      <c r="A594" s="3"/>
      <c r="B594" s="3"/>
      <c r="C594" s="3"/>
      <c r="D594" s="3"/>
      <c r="E594" s="3"/>
      <c r="F594" s="3"/>
      <c r="G594" s="3"/>
      <c r="H594" s="3"/>
      <c r="I594" s="3"/>
      <c r="J594" s="3"/>
      <c r="K594" s="3"/>
    </row>
    <row r="595" spans="1:11" hidden="1" x14ac:dyDescent="0.3">
      <c r="A595" s="3"/>
      <c r="B595" s="3"/>
      <c r="C595" s="3"/>
      <c r="D595" s="3"/>
      <c r="E595" s="3"/>
      <c r="F595" s="3"/>
      <c r="G595" s="3"/>
      <c r="H595" s="3"/>
      <c r="I595" s="3"/>
      <c r="J595" s="3"/>
      <c r="K595" s="3"/>
    </row>
    <row r="596" spans="1:11" hidden="1" x14ac:dyDescent="0.3">
      <c r="A596" s="3"/>
      <c r="B596" s="3"/>
      <c r="C596" s="3"/>
      <c r="D596" s="3"/>
      <c r="E596" s="3"/>
      <c r="F596" s="3"/>
      <c r="G596" s="3"/>
      <c r="H596" s="3"/>
      <c r="I596" s="3"/>
      <c r="J596" s="3"/>
      <c r="K596" s="3"/>
    </row>
    <row r="597" spans="1:11" hidden="1" x14ac:dyDescent="0.3">
      <c r="A597" s="3"/>
      <c r="B597" s="3"/>
      <c r="C597" s="3"/>
      <c r="D597" s="3"/>
      <c r="E597" s="3"/>
      <c r="F597" s="3"/>
      <c r="G597" s="3"/>
      <c r="H597" s="3"/>
      <c r="I597" s="3"/>
      <c r="J597" s="3"/>
      <c r="K597" s="3"/>
    </row>
    <row r="598" spans="1:11" hidden="1" x14ac:dyDescent="0.3">
      <c r="A598" s="3"/>
      <c r="B598" s="3"/>
      <c r="C598" s="3"/>
      <c r="D598" s="3"/>
      <c r="E598" s="3"/>
      <c r="F598" s="3"/>
      <c r="G598" s="3"/>
      <c r="H598" s="3"/>
      <c r="I598" s="3"/>
      <c r="J598" s="3"/>
      <c r="K598" s="3"/>
    </row>
    <row r="599" spans="1:11" hidden="1" x14ac:dyDescent="0.3">
      <c r="A599" s="3"/>
      <c r="B599" s="3"/>
      <c r="C599" s="3"/>
      <c r="D599" s="3"/>
      <c r="E599" s="3"/>
      <c r="F599" s="3"/>
      <c r="G599" s="3"/>
      <c r="H599" s="3"/>
      <c r="I599" s="3"/>
      <c r="J599" s="3"/>
      <c r="K599" s="3"/>
    </row>
    <row r="600" spans="1:11" hidden="1" x14ac:dyDescent="0.3">
      <c r="A600" s="3"/>
      <c r="B600" s="3"/>
      <c r="C600" s="3"/>
      <c r="D600" s="3"/>
      <c r="E600" s="3"/>
      <c r="F600" s="3"/>
      <c r="G600" s="3"/>
      <c r="H600" s="3"/>
      <c r="I600" s="3"/>
      <c r="J600" s="3"/>
      <c r="K600" s="3"/>
    </row>
    <row r="601" spans="1:11" hidden="1" x14ac:dyDescent="0.3">
      <c r="A601" s="3"/>
      <c r="B601" s="3"/>
      <c r="C601" s="3"/>
      <c r="D601" s="3"/>
      <c r="E601" s="3"/>
      <c r="F601" s="3"/>
      <c r="G601" s="3"/>
      <c r="H601" s="3"/>
      <c r="I601" s="3"/>
      <c r="J601" s="3"/>
      <c r="K601" s="3"/>
    </row>
    <row r="602" spans="1:11" hidden="1" x14ac:dyDescent="0.3">
      <c r="A602" s="3"/>
      <c r="B602" s="3"/>
      <c r="C602" s="3"/>
      <c r="D602" s="3"/>
      <c r="E602" s="3"/>
      <c r="F602" s="3"/>
      <c r="G602" s="3"/>
      <c r="H602" s="3"/>
      <c r="I602" s="3"/>
      <c r="J602" s="3"/>
      <c r="K602" s="3"/>
    </row>
    <row r="603" spans="1:11" hidden="1" x14ac:dyDescent="0.3">
      <c r="A603" s="3"/>
      <c r="B603" s="3"/>
      <c r="C603" s="3"/>
      <c r="D603" s="3"/>
      <c r="E603" s="3"/>
      <c r="F603" s="3"/>
      <c r="G603" s="3"/>
      <c r="H603" s="3"/>
      <c r="I603" s="3"/>
      <c r="J603" s="3"/>
      <c r="K603" s="3"/>
    </row>
    <row r="604" spans="1:11" hidden="1" x14ac:dyDescent="0.3">
      <c r="A604" s="3"/>
      <c r="B604" s="3"/>
      <c r="C604" s="3"/>
      <c r="D604" s="3"/>
      <c r="E604" s="3"/>
      <c r="F604" s="3"/>
      <c r="G604" s="3"/>
      <c r="H604" s="3"/>
      <c r="I604" s="3"/>
      <c r="J604" s="3"/>
      <c r="K604" s="3"/>
    </row>
    <row r="605" spans="1:11" hidden="1" x14ac:dyDescent="0.3">
      <c r="A605" s="3"/>
      <c r="B605" s="3"/>
      <c r="C605" s="3"/>
      <c r="D605" s="3"/>
      <c r="E605" s="3"/>
      <c r="F605" s="3"/>
      <c r="G605" s="3"/>
      <c r="H605" s="3"/>
      <c r="I605" s="3"/>
      <c r="J605" s="3"/>
      <c r="K605" s="3"/>
    </row>
    <row r="606" spans="1:11" hidden="1" x14ac:dyDescent="0.3">
      <c r="A606" s="3"/>
      <c r="B606" s="3"/>
      <c r="C606" s="3"/>
      <c r="D606" s="3"/>
      <c r="E606" s="3"/>
      <c r="F606" s="3"/>
      <c r="G606" s="3"/>
      <c r="H606" s="3"/>
      <c r="I606" s="3"/>
      <c r="J606" s="3"/>
      <c r="K606" s="3"/>
    </row>
    <row r="607" spans="1:11" hidden="1" x14ac:dyDescent="0.3">
      <c r="A607" s="3"/>
      <c r="B607" s="3"/>
      <c r="C607" s="3"/>
      <c r="D607" s="3"/>
      <c r="E607" s="3"/>
      <c r="F607" s="3"/>
      <c r="G607" s="3"/>
      <c r="H607" s="3"/>
      <c r="I607" s="3"/>
      <c r="J607" s="3"/>
      <c r="K607" s="3"/>
    </row>
    <row r="608" spans="1:11" hidden="1" x14ac:dyDescent="0.3">
      <c r="A608" s="3"/>
      <c r="B608" s="3"/>
      <c r="C608" s="3"/>
      <c r="D608" s="3"/>
      <c r="E608" s="3"/>
      <c r="F608" s="3"/>
      <c r="G608" s="3"/>
      <c r="H608" s="3"/>
      <c r="I608" s="3"/>
      <c r="J608" s="3"/>
      <c r="K608" s="3"/>
    </row>
    <row r="609" spans="1:11" hidden="1" x14ac:dyDescent="0.3">
      <c r="A609" s="3"/>
      <c r="B609" s="3"/>
      <c r="C609" s="3"/>
      <c r="D609" s="3"/>
      <c r="E609" s="3"/>
      <c r="F609" s="3"/>
      <c r="G609" s="3"/>
      <c r="H609" s="3"/>
      <c r="I609" s="3"/>
      <c r="J609" s="3"/>
      <c r="K609" s="3"/>
    </row>
    <row r="610" spans="1:11" hidden="1" x14ac:dyDescent="0.3">
      <c r="A610" s="3"/>
      <c r="B610" s="3"/>
      <c r="C610" s="3"/>
      <c r="D610" s="3"/>
      <c r="E610" s="3"/>
      <c r="F610" s="3"/>
      <c r="G610" s="3"/>
      <c r="H610" s="3"/>
      <c r="I610" s="3"/>
      <c r="J610" s="3"/>
      <c r="K610" s="3"/>
    </row>
    <row r="611" spans="1:11" hidden="1" x14ac:dyDescent="0.3">
      <c r="A611" s="3"/>
      <c r="B611" s="3"/>
      <c r="C611" s="3"/>
      <c r="D611" s="3"/>
      <c r="E611" s="3"/>
      <c r="F611" s="3"/>
      <c r="G611" s="3"/>
      <c r="H611" s="3"/>
      <c r="I611" s="3"/>
      <c r="J611" s="3"/>
      <c r="K611" s="3"/>
    </row>
    <row r="612" spans="1:11" hidden="1" x14ac:dyDescent="0.3">
      <c r="A612" s="3"/>
      <c r="B612" s="3"/>
      <c r="C612" s="3"/>
      <c r="D612" s="3"/>
      <c r="E612" s="3"/>
      <c r="F612" s="3"/>
      <c r="G612" s="3"/>
      <c r="H612" s="3"/>
      <c r="I612" s="3"/>
      <c r="J612" s="3"/>
      <c r="K612" s="3"/>
    </row>
    <row r="613" spans="1:11" hidden="1" x14ac:dyDescent="0.3">
      <c r="A613" s="3"/>
      <c r="B613" s="3"/>
      <c r="C613" s="3"/>
      <c r="D613" s="3"/>
      <c r="E613" s="3"/>
      <c r="F613" s="3"/>
      <c r="G613" s="3"/>
      <c r="H613" s="3"/>
      <c r="I613" s="3"/>
      <c r="J613" s="3"/>
      <c r="K613" s="3"/>
    </row>
    <row r="614" spans="1:11" hidden="1" x14ac:dyDescent="0.3">
      <c r="A614" s="3"/>
      <c r="B614" s="3"/>
      <c r="C614" s="3"/>
      <c r="D614" s="3"/>
      <c r="E614" s="3"/>
      <c r="F614" s="3"/>
      <c r="G614" s="3"/>
      <c r="H614" s="3"/>
      <c r="I614" s="3"/>
      <c r="J614" s="3"/>
      <c r="K614" s="3"/>
    </row>
    <row r="615" spans="1:11" hidden="1" x14ac:dyDescent="0.3">
      <c r="A615" s="3"/>
      <c r="B615" s="3"/>
      <c r="C615" s="3"/>
      <c r="D615" s="3"/>
      <c r="E615" s="3"/>
      <c r="F615" s="3"/>
      <c r="G615" s="3"/>
      <c r="H615" s="3"/>
      <c r="I615" s="3"/>
      <c r="J615" s="3"/>
      <c r="K615" s="3"/>
    </row>
    <row r="616" spans="1:11" hidden="1" x14ac:dyDescent="0.3">
      <c r="A616" s="3"/>
      <c r="B616" s="3"/>
      <c r="C616" s="3"/>
      <c r="D616" s="3"/>
      <c r="E616" s="3"/>
      <c r="F616" s="3"/>
      <c r="G616" s="3"/>
      <c r="H616" s="3"/>
      <c r="I616" s="3"/>
      <c r="J616" s="3"/>
      <c r="K616" s="3"/>
    </row>
    <row r="617" spans="1:11" hidden="1" x14ac:dyDescent="0.3">
      <c r="A617" s="3"/>
      <c r="B617" s="3"/>
      <c r="C617" s="3"/>
      <c r="D617" s="3"/>
      <c r="E617" s="3"/>
      <c r="F617" s="3"/>
      <c r="G617" s="3"/>
      <c r="H617" s="3"/>
      <c r="I617" s="3"/>
      <c r="J617" s="3"/>
      <c r="K617" s="3"/>
    </row>
    <row r="618" spans="1:11" hidden="1" x14ac:dyDescent="0.3">
      <c r="A618" s="3"/>
      <c r="B618" s="3"/>
      <c r="C618" s="3"/>
      <c r="D618" s="3"/>
      <c r="E618" s="3"/>
      <c r="F618" s="3"/>
      <c r="G618" s="3"/>
      <c r="H618" s="3"/>
      <c r="I618" s="3"/>
      <c r="J618" s="3"/>
      <c r="K618" s="3"/>
    </row>
    <row r="619" spans="1:11" hidden="1" x14ac:dyDescent="0.3">
      <c r="A619" s="3"/>
      <c r="B619" s="3"/>
      <c r="C619" s="3"/>
      <c r="D619" s="3"/>
      <c r="E619" s="3"/>
      <c r="F619" s="3"/>
      <c r="G619" s="3"/>
      <c r="H619" s="3"/>
      <c r="I619" s="3"/>
      <c r="J619" s="3"/>
      <c r="K619" s="3"/>
    </row>
    <row r="620" spans="1:11" hidden="1" x14ac:dyDescent="0.3">
      <c r="A620" s="3"/>
      <c r="B620" s="3"/>
      <c r="C620" s="3"/>
      <c r="D620" s="3"/>
      <c r="E620" s="3"/>
      <c r="F620" s="3"/>
      <c r="G620" s="3"/>
      <c r="H620" s="3"/>
      <c r="I620" s="3"/>
      <c r="J620" s="3"/>
      <c r="K620" s="3"/>
    </row>
    <row r="621" spans="1:11" hidden="1" x14ac:dyDescent="0.3">
      <c r="A621" s="3"/>
      <c r="B621" s="3"/>
      <c r="C621" s="3"/>
      <c r="D621" s="3"/>
      <c r="E621" s="3"/>
      <c r="F621" s="3"/>
      <c r="G621" s="3"/>
      <c r="H621" s="3"/>
      <c r="I621" s="3"/>
      <c r="J621" s="3"/>
      <c r="K621" s="3"/>
    </row>
    <row r="622" spans="1:11" hidden="1" x14ac:dyDescent="0.3">
      <c r="A622" s="3"/>
      <c r="B622" s="3"/>
      <c r="C622" s="3"/>
      <c r="D622" s="3"/>
      <c r="E622" s="3"/>
      <c r="F622" s="3"/>
      <c r="G622" s="3"/>
      <c r="H622" s="3"/>
      <c r="I622" s="3"/>
      <c r="J622" s="3"/>
      <c r="K622" s="3"/>
    </row>
    <row r="623" spans="1:11" hidden="1" x14ac:dyDescent="0.3">
      <c r="A623" s="3"/>
      <c r="B623" s="3"/>
      <c r="C623" s="3"/>
      <c r="D623" s="3"/>
      <c r="E623" s="3"/>
      <c r="F623" s="3"/>
      <c r="G623" s="3"/>
      <c r="H623" s="3"/>
      <c r="I623" s="3"/>
      <c r="J623" s="3"/>
      <c r="K623" s="3"/>
    </row>
    <row r="624" spans="1:11" hidden="1" x14ac:dyDescent="0.3">
      <c r="A624" s="3"/>
      <c r="B624" s="3"/>
      <c r="C624" s="3"/>
      <c r="D624" s="3"/>
      <c r="E624" s="3"/>
      <c r="F624" s="3"/>
      <c r="G624" s="3"/>
      <c r="H624" s="3"/>
      <c r="I624" s="3"/>
      <c r="J624" s="3"/>
      <c r="K624" s="3"/>
    </row>
    <row r="625" spans="1:11" hidden="1" x14ac:dyDescent="0.3">
      <c r="A625" s="3"/>
      <c r="B625" s="3"/>
      <c r="C625" s="3"/>
      <c r="D625" s="3"/>
      <c r="E625" s="3"/>
      <c r="F625" s="3"/>
      <c r="G625" s="3"/>
      <c r="H625" s="3"/>
      <c r="I625" s="3"/>
      <c r="J625" s="3"/>
      <c r="K625" s="3"/>
    </row>
    <row r="626" spans="1:11" hidden="1" x14ac:dyDescent="0.3">
      <c r="A626" s="3"/>
      <c r="B626" s="3"/>
      <c r="C626" s="3"/>
      <c r="D626" s="3"/>
      <c r="E626" s="3"/>
      <c r="F626" s="3"/>
      <c r="G626" s="3"/>
      <c r="H626" s="3"/>
      <c r="I626" s="3"/>
      <c r="J626" s="3"/>
      <c r="K626" s="3"/>
    </row>
    <row r="627" spans="1:11" hidden="1" x14ac:dyDescent="0.3">
      <c r="A627" s="3"/>
      <c r="B627" s="3"/>
      <c r="C627" s="3"/>
      <c r="D627" s="3"/>
      <c r="E627" s="3"/>
      <c r="F627" s="3"/>
      <c r="G627" s="3"/>
      <c r="H627" s="3"/>
      <c r="I627" s="3"/>
      <c r="J627" s="3"/>
      <c r="K627" s="3"/>
    </row>
    <row r="628" spans="1:11" hidden="1" x14ac:dyDescent="0.3">
      <c r="A628" s="3"/>
      <c r="B628" s="3"/>
      <c r="C628" s="3"/>
      <c r="D628" s="3"/>
      <c r="E628" s="3"/>
      <c r="F628" s="3"/>
      <c r="G628" s="3"/>
      <c r="H628" s="3"/>
      <c r="I628" s="3"/>
      <c r="J628" s="3"/>
      <c r="K628" s="3"/>
    </row>
    <row r="629" spans="1:11" hidden="1" x14ac:dyDescent="0.3">
      <c r="A629" s="3"/>
      <c r="B629" s="3"/>
      <c r="C629" s="3"/>
      <c r="D629" s="3"/>
      <c r="E629" s="3"/>
      <c r="F629" s="3"/>
      <c r="G629" s="3"/>
      <c r="H629" s="3"/>
      <c r="I629" s="3"/>
      <c r="J629" s="3"/>
      <c r="K629" s="3"/>
    </row>
    <row r="630" spans="1:11" hidden="1" x14ac:dyDescent="0.3">
      <c r="A630" s="3"/>
      <c r="B630" s="3"/>
      <c r="C630" s="3"/>
      <c r="D630" s="3"/>
      <c r="E630" s="3"/>
      <c r="F630" s="3"/>
      <c r="G630" s="3"/>
      <c r="H630" s="3"/>
      <c r="I630" s="3"/>
      <c r="J630" s="3"/>
      <c r="K630" s="3"/>
    </row>
    <row r="631" spans="1:11" hidden="1" x14ac:dyDescent="0.3">
      <c r="A631" s="3"/>
      <c r="B631" s="3"/>
      <c r="C631" s="3"/>
      <c r="D631" s="3"/>
      <c r="E631" s="3"/>
      <c r="F631" s="3"/>
      <c r="G631" s="3"/>
      <c r="H631" s="3"/>
      <c r="I631" s="3"/>
      <c r="J631" s="3"/>
      <c r="K631" s="3"/>
    </row>
    <row r="632" spans="1:11" hidden="1" x14ac:dyDescent="0.3">
      <c r="A632" s="3"/>
      <c r="B632" s="3"/>
      <c r="C632" s="3"/>
      <c r="D632" s="3"/>
      <c r="E632" s="3"/>
      <c r="F632" s="3"/>
      <c r="G632" s="3"/>
      <c r="H632" s="3"/>
      <c r="I632" s="3"/>
      <c r="J632" s="3"/>
      <c r="K632" s="3"/>
    </row>
    <row r="633" spans="1:11" hidden="1" x14ac:dyDescent="0.3">
      <c r="A633" s="3"/>
      <c r="B633" s="3"/>
      <c r="C633" s="3"/>
      <c r="D633" s="3"/>
      <c r="E633" s="3"/>
      <c r="F633" s="3"/>
      <c r="G633" s="3"/>
      <c r="H633" s="3"/>
      <c r="I633" s="3"/>
      <c r="J633" s="3"/>
      <c r="K633" s="3"/>
    </row>
    <row r="634" spans="1:11" hidden="1" x14ac:dyDescent="0.3">
      <c r="A634" s="3"/>
      <c r="B634" s="3"/>
      <c r="C634" s="3"/>
      <c r="D634" s="3"/>
      <c r="E634" s="3"/>
      <c r="F634" s="3"/>
      <c r="G634" s="3"/>
      <c r="H634" s="3"/>
      <c r="I634" s="3"/>
      <c r="J634" s="3"/>
      <c r="K634" s="3"/>
    </row>
    <row r="635" spans="1:11" hidden="1" x14ac:dyDescent="0.3">
      <c r="A635" s="3"/>
      <c r="B635" s="3"/>
      <c r="C635" s="3"/>
      <c r="D635" s="3"/>
      <c r="E635" s="3"/>
      <c r="F635" s="3"/>
      <c r="G635" s="3"/>
      <c r="H635" s="3"/>
      <c r="I635" s="3"/>
      <c r="J635" s="3"/>
      <c r="K635" s="3"/>
    </row>
    <row r="636" spans="1:11" hidden="1" x14ac:dyDescent="0.3">
      <c r="A636" s="3"/>
      <c r="B636" s="3"/>
      <c r="C636" s="3"/>
      <c r="D636" s="3"/>
      <c r="E636" s="3"/>
      <c r="F636" s="3"/>
      <c r="G636" s="3"/>
      <c r="H636" s="3"/>
      <c r="I636" s="3"/>
      <c r="J636" s="3"/>
      <c r="K636" s="3"/>
    </row>
    <row r="637" spans="1:11" hidden="1" x14ac:dyDescent="0.3">
      <c r="A637" s="3"/>
      <c r="B637" s="3"/>
      <c r="C637" s="3"/>
      <c r="D637" s="3"/>
      <c r="E637" s="3"/>
      <c r="F637" s="3"/>
      <c r="G637" s="3"/>
      <c r="H637" s="3"/>
      <c r="I637" s="3"/>
      <c r="J637" s="3"/>
      <c r="K637" s="3"/>
    </row>
    <row r="638" spans="1:11" hidden="1" x14ac:dyDescent="0.3">
      <c r="A638" s="3"/>
      <c r="B638" s="3"/>
      <c r="C638" s="3"/>
      <c r="D638" s="3"/>
      <c r="E638" s="3"/>
      <c r="F638" s="3"/>
      <c r="G638" s="3"/>
      <c r="H638" s="3"/>
      <c r="I638" s="3"/>
      <c r="J638" s="3"/>
      <c r="K638" s="3"/>
    </row>
    <row r="639" spans="1:11" hidden="1" x14ac:dyDescent="0.3">
      <c r="A639" s="3"/>
      <c r="B639" s="3"/>
      <c r="C639" s="3"/>
      <c r="D639" s="3"/>
      <c r="E639" s="3"/>
      <c r="F639" s="3"/>
      <c r="G639" s="3"/>
      <c r="H639" s="3"/>
      <c r="I639" s="3"/>
      <c r="J639" s="3"/>
      <c r="K639" s="3"/>
    </row>
    <row r="640" spans="1:11" hidden="1" x14ac:dyDescent="0.3">
      <c r="A640" s="3"/>
      <c r="B640" s="3"/>
      <c r="C640" s="3"/>
      <c r="D640" s="3"/>
      <c r="E640" s="3"/>
      <c r="F640" s="3"/>
      <c r="G640" s="3"/>
      <c r="H640" s="3"/>
      <c r="I640" s="3"/>
      <c r="J640" s="3"/>
      <c r="K640" s="3"/>
    </row>
    <row r="641" spans="1:11" hidden="1" x14ac:dyDescent="0.3">
      <c r="A641" s="3"/>
      <c r="B641" s="3"/>
      <c r="C641" s="3"/>
      <c r="D641" s="3"/>
      <c r="E641" s="3"/>
      <c r="F641" s="3"/>
      <c r="G641" s="3"/>
      <c r="H641" s="3"/>
      <c r="I641" s="3"/>
      <c r="J641" s="3"/>
      <c r="K641" s="3"/>
    </row>
    <row r="642" spans="1:11" hidden="1" x14ac:dyDescent="0.3">
      <c r="A642" s="3"/>
      <c r="B642" s="3"/>
      <c r="C642" s="3"/>
      <c r="D642" s="3"/>
      <c r="E642" s="3"/>
      <c r="F642" s="3"/>
      <c r="G642" s="3"/>
      <c r="H642" s="3"/>
      <c r="I642" s="3"/>
      <c r="J642" s="3"/>
      <c r="K642" s="3"/>
    </row>
    <row r="643" spans="1:11" hidden="1" x14ac:dyDescent="0.3">
      <c r="A643" s="3"/>
      <c r="B643" s="3"/>
      <c r="C643" s="3"/>
      <c r="D643" s="3"/>
      <c r="E643" s="3"/>
      <c r="F643" s="3"/>
      <c r="G643" s="3"/>
      <c r="H643" s="3"/>
      <c r="I643" s="3"/>
      <c r="J643" s="3"/>
      <c r="K643" s="3"/>
    </row>
    <row r="644" spans="1:11" hidden="1" x14ac:dyDescent="0.3">
      <c r="A644" s="3"/>
      <c r="B644" s="3"/>
      <c r="C644" s="3"/>
      <c r="D644" s="3"/>
      <c r="E644" s="3"/>
      <c r="F644" s="3"/>
      <c r="G644" s="3"/>
      <c r="H644" s="3"/>
      <c r="I644" s="3"/>
      <c r="J644" s="3"/>
      <c r="K644" s="3"/>
    </row>
    <row r="645" spans="1:11" hidden="1" x14ac:dyDescent="0.3">
      <c r="A645" s="3"/>
      <c r="B645" s="3"/>
      <c r="C645" s="3"/>
      <c r="D645" s="3"/>
      <c r="E645" s="3"/>
      <c r="F645" s="3"/>
      <c r="G645" s="3"/>
      <c r="H645" s="3"/>
      <c r="I645" s="3"/>
      <c r="J645" s="3"/>
      <c r="K645" s="3"/>
    </row>
    <row r="646" spans="1:11" hidden="1" x14ac:dyDescent="0.3">
      <c r="A646" s="3"/>
      <c r="B646" s="3"/>
      <c r="C646" s="3"/>
      <c r="D646" s="3"/>
      <c r="E646" s="3"/>
      <c r="F646" s="3"/>
      <c r="G646" s="3"/>
      <c r="H646" s="3"/>
      <c r="I646" s="3"/>
      <c r="J646" s="3"/>
      <c r="K646" s="3"/>
    </row>
    <row r="647" spans="1:11" hidden="1" x14ac:dyDescent="0.3">
      <c r="A647" s="3"/>
      <c r="B647" s="3"/>
      <c r="C647" s="3"/>
      <c r="D647" s="3"/>
      <c r="E647" s="3"/>
      <c r="F647" s="3"/>
      <c r="G647" s="3"/>
      <c r="H647" s="3"/>
      <c r="I647" s="3"/>
      <c r="J647" s="3"/>
      <c r="K647" s="3"/>
    </row>
    <row r="648" spans="1:11" hidden="1" x14ac:dyDescent="0.3">
      <c r="A648" s="3"/>
      <c r="B648" s="3"/>
      <c r="C648" s="3"/>
      <c r="D648" s="3"/>
      <c r="E648" s="3"/>
      <c r="F648" s="3"/>
      <c r="G648" s="3"/>
      <c r="H648" s="3"/>
      <c r="I648" s="3"/>
      <c r="J648" s="3"/>
      <c r="K648" s="3"/>
    </row>
    <row r="649" spans="1:11" hidden="1" x14ac:dyDescent="0.3">
      <c r="A649" s="3"/>
      <c r="B649" s="3"/>
      <c r="C649" s="3"/>
      <c r="D649" s="3"/>
      <c r="E649" s="3"/>
      <c r="F649" s="3"/>
      <c r="G649" s="3"/>
      <c r="H649" s="3"/>
      <c r="I649" s="3"/>
      <c r="J649" s="3"/>
      <c r="K649" s="3"/>
    </row>
    <row r="650" spans="1:11" hidden="1" x14ac:dyDescent="0.3">
      <c r="A650" s="3"/>
      <c r="B650" s="3"/>
      <c r="C650" s="3"/>
      <c r="D650" s="3"/>
      <c r="E650" s="3"/>
      <c r="F650" s="3"/>
      <c r="G650" s="3"/>
      <c r="H650" s="3"/>
      <c r="I650" s="3"/>
      <c r="J650" s="3"/>
      <c r="K650" s="3"/>
    </row>
    <row r="651" spans="1:11" hidden="1" x14ac:dyDescent="0.3">
      <c r="A651" s="3"/>
      <c r="B651" s="3"/>
      <c r="C651" s="3"/>
      <c r="D651" s="3"/>
      <c r="E651" s="3"/>
      <c r="F651" s="3"/>
      <c r="G651" s="3"/>
      <c r="H651" s="3"/>
      <c r="I651" s="3"/>
      <c r="J651" s="3"/>
      <c r="K651" s="3"/>
    </row>
    <row r="652" spans="1:11" hidden="1" x14ac:dyDescent="0.3">
      <c r="A652" s="3"/>
      <c r="B652" s="3"/>
      <c r="C652" s="3"/>
      <c r="D652" s="3"/>
      <c r="E652" s="3"/>
      <c r="F652" s="3"/>
      <c r="G652" s="3"/>
      <c r="H652" s="3"/>
      <c r="I652" s="3"/>
      <c r="J652" s="3"/>
      <c r="K652" s="3"/>
    </row>
    <row r="653" spans="1:11" hidden="1" x14ac:dyDescent="0.3">
      <c r="A653" s="3"/>
      <c r="B653" s="3"/>
      <c r="C653" s="3"/>
      <c r="D653" s="3"/>
      <c r="E653" s="3"/>
      <c r="F653" s="3"/>
      <c r="G653" s="3"/>
      <c r="H653" s="3"/>
      <c r="I653" s="3"/>
      <c r="J653" s="3"/>
      <c r="K653" s="3"/>
    </row>
    <row r="654" spans="1:11" hidden="1" x14ac:dyDescent="0.3">
      <c r="A654" s="3"/>
      <c r="B654" s="3"/>
      <c r="C654" s="3"/>
      <c r="D654" s="3"/>
      <c r="E654" s="3"/>
      <c r="F654" s="3"/>
      <c r="G654" s="3"/>
      <c r="H654" s="3"/>
      <c r="I654" s="3"/>
      <c r="J654" s="3"/>
      <c r="K654" s="3"/>
    </row>
    <row r="655" spans="1:11" hidden="1" x14ac:dyDescent="0.3">
      <c r="A655" s="3"/>
      <c r="B655" s="3"/>
      <c r="C655" s="3"/>
      <c r="D655" s="3"/>
      <c r="E655" s="3"/>
      <c r="F655" s="3"/>
      <c r="G655" s="3"/>
      <c r="H655" s="3"/>
      <c r="I655" s="3"/>
      <c r="J655" s="3"/>
      <c r="K655" s="3"/>
    </row>
    <row r="656" spans="1:11" hidden="1" x14ac:dyDescent="0.3">
      <c r="A656" s="3"/>
      <c r="B656" s="3"/>
      <c r="C656" s="3"/>
      <c r="D656" s="3"/>
      <c r="E656" s="3"/>
      <c r="F656" s="3"/>
      <c r="G656" s="3"/>
      <c r="H656" s="3"/>
      <c r="I656" s="3"/>
      <c r="J656" s="3"/>
      <c r="K656" s="3"/>
    </row>
    <row r="657" spans="1:11" hidden="1" x14ac:dyDescent="0.3">
      <c r="A657" s="3"/>
      <c r="B657" s="3"/>
      <c r="C657" s="3"/>
      <c r="D657" s="3"/>
      <c r="E657" s="3"/>
      <c r="F657" s="3"/>
      <c r="G657" s="3"/>
      <c r="H657" s="3"/>
      <c r="I657" s="3"/>
      <c r="J657" s="3"/>
      <c r="K657" s="3"/>
    </row>
    <row r="658" spans="1:11" hidden="1" x14ac:dyDescent="0.3">
      <c r="A658" s="3"/>
      <c r="B658" s="3"/>
      <c r="C658" s="3"/>
      <c r="D658" s="3"/>
      <c r="E658" s="3"/>
      <c r="F658" s="3"/>
      <c r="G658" s="3"/>
      <c r="H658" s="3"/>
      <c r="I658" s="3"/>
      <c r="J658" s="3"/>
      <c r="K658" s="3"/>
    </row>
    <row r="659" spans="1:11" hidden="1" x14ac:dyDescent="0.3">
      <c r="A659" s="3"/>
      <c r="B659" s="3"/>
      <c r="C659" s="3"/>
      <c r="D659" s="3"/>
      <c r="E659" s="3"/>
      <c r="F659" s="3"/>
      <c r="G659" s="3"/>
      <c r="H659" s="3"/>
      <c r="I659" s="3"/>
      <c r="J659" s="3"/>
      <c r="K659" s="3"/>
    </row>
    <row r="660" spans="1:11" hidden="1" x14ac:dyDescent="0.3">
      <c r="A660" s="3"/>
      <c r="B660" s="3"/>
      <c r="C660" s="3"/>
      <c r="D660" s="3"/>
      <c r="E660" s="3"/>
      <c r="F660" s="3"/>
      <c r="G660" s="3"/>
      <c r="H660" s="3"/>
      <c r="I660" s="3"/>
      <c r="J660" s="3"/>
      <c r="K660" s="3"/>
    </row>
    <row r="661" spans="1:11" hidden="1" x14ac:dyDescent="0.3">
      <c r="A661" s="3"/>
      <c r="B661" s="3"/>
      <c r="C661" s="3"/>
      <c r="D661" s="3"/>
      <c r="E661" s="3"/>
      <c r="F661" s="3"/>
      <c r="G661" s="3"/>
      <c r="H661" s="3"/>
      <c r="I661" s="3"/>
      <c r="J661" s="3"/>
      <c r="K661" s="3"/>
    </row>
    <row r="662" spans="1:11" hidden="1" x14ac:dyDescent="0.3">
      <c r="A662" s="3"/>
      <c r="B662" s="3"/>
      <c r="C662" s="3"/>
      <c r="D662" s="3"/>
      <c r="E662" s="3"/>
      <c r="F662" s="3"/>
      <c r="G662" s="3"/>
      <c r="H662" s="3"/>
      <c r="I662" s="3"/>
      <c r="J662" s="3"/>
      <c r="K662" s="3"/>
    </row>
    <row r="663" spans="1:11" hidden="1" x14ac:dyDescent="0.3">
      <c r="A663" s="3"/>
      <c r="B663" s="3"/>
      <c r="C663" s="3"/>
      <c r="D663" s="3"/>
      <c r="E663" s="3"/>
      <c r="F663" s="3"/>
      <c r="G663" s="3"/>
      <c r="H663" s="3"/>
      <c r="I663" s="3"/>
      <c r="J663" s="3"/>
      <c r="K663" s="3"/>
    </row>
    <row r="664" spans="1:11" hidden="1" x14ac:dyDescent="0.3">
      <c r="A664" s="3"/>
      <c r="B664" s="3"/>
      <c r="C664" s="3"/>
      <c r="D664" s="3"/>
      <c r="E664" s="3"/>
      <c r="F664" s="3"/>
      <c r="G664" s="3"/>
      <c r="H664" s="3"/>
      <c r="I664" s="3"/>
      <c r="J664" s="3"/>
      <c r="K664" s="3"/>
    </row>
    <row r="665" spans="1:11" hidden="1" x14ac:dyDescent="0.3">
      <c r="A665" s="3"/>
      <c r="B665" s="3"/>
      <c r="C665" s="3"/>
      <c r="D665" s="3"/>
      <c r="E665" s="3"/>
      <c r="F665" s="3"/>
      <c r="G665" s="3"/>
      <c r="H665" s="3"/>
      <c r="I665" s="3"/>
      <c r="J665" s="3"/>
      <c r="K665" s="3"/>
    </row>
    <row r="666" spans="1:11" hidden="1" x14ac:dyDescent="0.3">
      <c r="A666" s="3"/>
      <c r="B666" s="3"/>
      <c r="C666" s="3"/>
      <c r="D666" s="3"/>
      <c r="E666" s="3"/>
      <c r="F666" s="3"/>
      <c r="G666" s="3"/>
      <c r="H666" s="3"/>
      <c r="I666" s="3"/>
      <c r="J666" s="3"/>
      <c r="K666" s="3"/>
    </row>
    <row r="667" spans="1:11" hidden="1" x14ac:dyDescent="0.3">
      <c r="A667" s="3"/>
      <c r="B667" s="3"/>
      <c r="C667" s="3"/>
      <c r="D667" s="3"/>
      <c r="E667" s="3"/>
      <c r="F667" s="3"/>
      <c r="G667" s="3"/>
      <c r="H667" s="3"/>
      <c r="I667" s="3"/>
      <c r="J667" s="3"/>
      <c r="K667" s="3"/>
    </row>
    <row r="668" spans="1:11" hidden="1" x14ac:dyDescent="0.3">
      <c r="A668" s="3"/>
      <c r="B668" s="3"/>
      <c r="C668" s="3"/>
      <c r="D668" s="3"/>
      <c r="E668" s="3"/>
      <c r="F668" s="3"/>
      <c r="G668" s="3"/>
      <c r="H668" s="3"/>
      <c r="I668" s="3"/>
      <c r="J668" s="3"/>
      <c r="K668" s="3"/>
    </row>
    <row r="669" spans="1:11" hidden="1" x14ac:dyDescent="0.3">
      <c r="A669" s="3"/>
      <c r="B669" s="3"/>
      <c r="C669" s="3"/>
      <c r="D669" s="3"/>
      <c r="E669" s="3"/>
      <c r="F669" s="3"/>
      <c r="G669" s="3"/>
      <c r="H669" s="3"/>
      <c r="I669" s="3"/>
      <c r="J669" s="3"/>
      <c r="K669" s="3"/>
    </row>
    <row r="670" spans="1:11" hidden="1" x14ac:dyDescent="0.3">
      <c r="A670" s="3"/>
      <c r="B670" s="3"/>
      <c r="C670" s="3"/>
      <c r="D670" s="3"/>
      <c r="E670" s="3"/>
      <c r="F670" s="3"/>
      <c r="G670" s="3"/>
      <c r="H670" s="3"/>
      <c r="I670" s="3"/>
      <c r="J670" s="3"/>
      <c r="K670" s="3"/>
    </row>
    <row r="671" spans="1:11" hidden="1" x14ac:dyDescent="0.3">
      <c r="A671" s="3"/>
      <c r="B671" s="3"/>
      <c r="C671" s="3"/>
      <c r="D671" s="3"/>
      <c r="E671" s="3"/>
      <c r="F671" s="3"/>
      <c r="G671" s="3"/>
      <c r="H671" s="3"/>
      <c r="I671" s="3"/>
      <c r="J671" s="3"/>
      <c r="K671" s="3"/>
    </row>
    <row r="672" spans="1:11" hidden="1" x14ac:dyDescent="0.3">
      <c r="A672" s="3"/>
      <c r="B672" s="3"/>
      <c r="C672" s="3"/>
      <c r="D672" s="3"/>
      <c r="E672" s="3"/>
      <c r="F672" s="3"/>
      <c r="G672" s="3"/>
      <c r="H672" s="3"/>
      <c r="I672" s="3"/>
      <c r="J672" s="3"/>
      <c r="K672" s="3"/>
    </row>
    <row r="673" spans="1:11" hidden="1" x14ac:dyDescent="0.3">
      <c r="A673" s="3"/>
      <c r="B673" s="3"/>
      <c r="C673" s="3"/>
      <c r="D673" s="3"/>
      <c r="E673" s="3"/>
      <c r="F673" s="3"/>
      <c r="G673" s="3"/>
      <c r="H673" s="3"/>
      <c r="I673" s="3"/>
      <c r="J673" s="3"/>
      <c r="K673" s="3"/>
    </row>
    <row r="674" spans="1:11" hidden="1" x14ac:dyDescent="0.3">
      <c r="A674" s="3"/>
      <c r="B674" s="3"/>
      <c r="C674" s="3"/>
      <c r="D674" s="3"/>
      <c r="E674" s="3"/>
      <c r="F674" s="3"/>
      <c r="G674" s="3"/>
      <c r="H674" s="3"/>
      <c r="I674" s="3"/>
      <c r="J674" s="3"/>
      <c r="K674" s="3"/>
    </row>
    <row r="675" spans="1:11" hidden="1" x14ac:dyDescent="0.3">
      <c r="A675" s="3"/>
      <c r="B675" s="3"/>
      <c r="C675" s="3"/>
      <c r="D675" s="3"/>
      <c r="E675" s="3"/>
      <c r="F675" s="3"/>
      <c r="G675" s="3"/>
      <c r="H675" s="3"/>
      <c r="I675" s="3"/>
      <c r="J675" s="3"/>
      <c r="K675" s="3"/>
    </row>
    <row r="676" spans="1:11" hidden="1" x14ac:dyDescent="0.3">
      <c r="A676" s="3"/>
      <c r="B676" s="3"/>
      <c r="C676" s="3"/>
      <c r="D676" s="3"/>
      <c r="E676" s="3"/>
      <c r="F676" s="3"/>
      <c r="G676" s="3"/>
      <c r="H676" s="3"/>
      <c r="I676" s="3"/>
      <c r="J676" s="3"/>
      <c r="K676" s="3"/>
    </row>
    <row r="677" spans="1:11" hidden="1" x14ac:dyDescent="0.3">
      <c r="A677" s="3"/>
      <c r="B677" s="3"/>
      <c r="C677" s="3"/>
      <c r="D677" s="3"/>
      <c r="E677" s="3"/>
      <c r="F677" s="3"/>
      <c r="G677" s="3"/>
      <c r="H677" s="3"/>
      <c r="I677" s="3"/>
      <c r="J677" s="3"/>
      <c r="K677" s="3"/>
    </row>
    <row r="678" spans="1:11" hidden="1" x14ac:dyDescent="0.3">
      <c r="A678" s="3"/>
      <c r="B678" s="3"/>
      <c r="C678" s="3"/>
      <c r="D678" s="3"/>
      <c r="E678" s="3"/>
      <c r="F678" s="3"/>
      <c r="G678" s="3"/>
      <c r="H678" s="3"/>
      <c r="I678" s="3"/>
      <c r="J678" s="3"/>
      <c r="K678" s="3"/>
    </row>
    <row r="679" spans="1:11" hidden="1" x14ac:dyDescent="0.3">
      <c r="A679" s="3"/>
      <c r="B679" s="3"/>
      <c r="C679" s="3"/>
      <c r="D679" s="3"/>
      <c r="E679" s="3"/>
      <c r="F679" s="3"/>
      <c r="G679" s="3"/>
      <c r="H679" s="3"/>
      <c r="I679" s="3"/>
      <c r="J679" s="3"/>
      <c r="K679" s="3"/>
    </row>
    <row r="680" spans="1:11" hidden="1" x14ac:dyDescent="0.3">
      <c r="A680" s="3"/>
      <c r="B680" s="3"/>
      <c r="C680" s="3"/>
      <c r="D680" s="3"/>
      <c r="E680" s="3"/>
      <c r="F680" s="3"/>
      <c r="G680" s="3"/>
      <c r="H680" s="3"/>
      <c r="I680" s="3"/>
      <c r="J680" s="3"/>
      <c r="K680" s="3"/>
    </row>
    <row r="681" spans="1:11" hidden="1" x14ac:dyDescent="0.3">
      <c r="A681" s="3"/>
      <c r="B681" s="3"/>
      <c r="C681" s="3"/>
      <c r="D681" s="3"/>
      <c r="E681" s="3"/>
      <c r="F681" s="3"/>
      <c r="G681" s="3"/>
      <c r="H681" s="3"/>
      <c r="I681" s="3"/>
      <c r="J681" s="3"/>
      <c r="K681" s="3"/>
    </row>
    <row r="682" spans="1:11" hidden="1" x14ac:dyDescent="0.3">
      <c r="A682" s="3"/>
      <c r="B682" s="3"/>
      <c r="C682" s="3"/>
      <c r="D682" s="3"/>
      <c r="E682" s="3"/>
      <c r="F682" s="3"/>
      <c r="G682" s="3"/>
      <c r="H682" s="3"/>
      <c r="I682" s="3"/>
      <c r="J682" s="3"/>
      <c r="K682" s="3"/>
    </row>
    <row r="683" spans="1:11" hidden="1" x14ac:dyDescent="0.3">
      <c r="A683" s="3"/>
      <c r="B683" s="3"/>
      <c r="C683" s="3"/>
      <c r="D683" s="3"/>
      <c r="E683" s="3"/>
      <c r="F683" s="3"/>
      <c r="G683" s="3"/>
      <c r="H683" s="3"/>
      <c r="I683" s="3"/>
      <c r="J683" s="3"/>
      <c r="K683" s="3"/>
    </row>
    <row r="684" spans="1:11" hidden="1" x14ac:dyDescent="0.3">
      <c r="A684" s="3"/>
      <c r="B684" s="3"/>
      <c r="C684" s="3"/>
      <c r="D684" s="3"/>
      <c r="E684" s="3"/>
      <c r="F684" s="3"/>
      <c r="G684" s="3"/>
      <c r="H684" s="3"/>
      <c r="I684" s="3"/>
      <c r="J684" s="3"/>
      <c r="K684" s="3"/>
    </row>
    <row r="685" spans="1:11" hidden="1" x14ac:dyDescent="0.3">
      <c r="A685" s="3"/>
      <c r="B685" s="3"/>
      <c r="C685" s="3"/>
      <c r="D685" s="3"/>
      <c r="E685" s="3"/>
      <c r="F685" s="3"/>
      <c r="G685" s="3"/>
      <c r="H685" s="3"/>
      <c r="I685" s="3"/>
      <c r="J685" s="3"/>
      <c r="K685" s="3"/>
    </row>
    <row r="686" spans="1:11" hidden="1" x14ac:dyDescent="0.3">
      <c r="A686" s="3"/>
      <c r="B686" s="3"/>
      <c r="C686" s="3"/>
      <c r="D686" s="3"/>
      <c r="E686" s="3"/>
      <c r="F686" s="3"/>
      <c r="G686" s="3"/>
      <c r="H686" s="3"/>
      <c r="I686" s="3"/>
      <c r="J686" s="3"/>
      <c r="K686" s="3"/>
    </row>
    <row r="687" spans="1:11" hidden="1" x14ac:dyDescent="0.3">
      <c r="A687" s="3"/>
      <c r="B687" s="3"/>
      <c r="C687" s="3"/>
      <c r="D687" s="3"/>
      <c r="E687" s="3"/>
      <c r="F687" s="3"/>
      <c r="G687" s="3"/>
      <c r="H687" s="3"/>
      <c r="I687" s="3"/>
      <c r="J687" s="3"/>
      <c r="K687" s="3"/>
    </row>
    <row r="688" spans="1:11" hidden="1" x14ac:dyDescent="0.3">
      <c r="A688" s="3"/>
      <c r="B688" s="3"/>
      <c r="C688" s="3"/>
      <c r="D688" s="3"/>
      <c r="E688" s="3"/>
      <c r="F688" s="3"/>
      <c r="G688" s="3"/>
      <c r="H688" s="3"/>
      <c r="I688" s="3"/>
      <c r="J688" s="3"/>
      <c r="K688" s="3"/>
    </row>
    <row r="689" spans="1:11" hidden="1" x14ac:dyDescent="0.3">
      <c r="A689" s="3"/>
      <c r="B689" s="3"/>
      <c r="C689" s="3"/>
      <c r="D689" s="3"/>
      <c r="E689" s="3"/>
      <c r="F689" s="3"/>
      <c r="G689" s="3"/>
      <c r="H689" s="3"/>
      <c r="I689" s="3"/>
      <c r="J689" s="3"/>
      <c r="K689" s="3"/>
    </row>
    <row r="690" spans="1:11" hidden="1" x14ac:dyDescent="0.3">
      <c r="A690" s="3"/>
      <c r="B690" s="3"/>
      <c r="C690" s="3"/>
      <c r="D690" s="3"/>
      <c r="E690" s="3"/>
      <c r="F690" s="3"/>
      <c r="G690" s="3"/>
      <c r="H690" s="3"/>
      <c r="I690" s="3"/>
      <c r="J690" s="3"/>
      <c r="K690" s="3"/>
    </row>
    <row r="691" spans="1:11" hidden="1" x14ac:dyDescent="0.3">
      <c r="A691" s="3"/>
      <c r="B691" s="3"/>
      <c r="C691" s="3"/>
      <c r="D691" s="3"/>
      <c r="E691" s="3"/>
      <c r="F691" s="3"/>
      <c r="G691" s="3"/>
      <c r="H691" s="3"/>
      <c r="I691" s="3"/>
      <c r="J691" s="3"/>
      <c r="K691" s="3"/>
    </row>
    <row r="692" spans="1:11" hidden="1" x14ac:dyDescent="0.3">
      <c r="A692" s="3"/>
      <c r="B692" s="3"/>
      <c r="C692" s="3"/>
      <c r="D692" s="3"/>
      <c r="E692" s="3"/>
      <c r="F692" s="3"/>
      <c r="G692" s="3"/>
      <c r="H692" s="3"/>
      <c r="I692" s="3"/>
      <c r="J692" s="3"/>
      <c r="K692" s="3"/>
    </row>
    <row r="693" spans="1:11" hidden="1" x14ac:dyDescent="0.3">
      <c r="A693" s="3"/>
      <c r="B693" s="3"/>
      <c r="C693" s="3"/>
      <c r="D693" s="3"/>
      <c r="E693" s="3"/>
      <c r="F693" s="3"/>
      <c r="G693" s="3"/>
      <c r="H693" s="3"/>
      <c r="I693" s="3"/>
      <c r="J693" s="3"/>
      <c r="K693" s="3"/>
    </row>
    <row r="694" spans="1:11" hidden="1" x14ac:dyDescent="0.3">
      <c r="A694" s="3"/>
      <c r="B694" s="3"/>
      <c r="C694" s="3"/>
      <c r="D694" s="3"/>
      <c r="E694" s="3"/>
      <c r="F694" s="3"/>
      <c r="G694" s="3"/>
      <c r="H694" s="3"/>
      <c r="I694" s="3"/>
      <c r="J694" s="3"/>
      <c r="K694" s="3"/>
    </row>
    <row r="695" spans="1:11" hidden="1" x14ac:dyDescent="0.3">
      <c r="A695" s="3"/>
      <c r="B695" s="3"/>
      <c r="C695" s="3"/>
      <c r="D695" s="3"/>
      <c r="E695" s="3"/>
      <c r="F695" s="3"/>
      <c r="G695" s="3"/>
      <c r="H695" s="3"/>
      <c r="I695" s="3"/>
      <c r="J695" s="3"/>
      <c r="K695" s="3"/>
    </row>
    <row r="696" spans="1:11" hidden="1" x14ac:dyDescent="0.3">
      <c r="A696" s="3"/>
      <c r="B696" s="3"/>
      <c r="C696" s="3"/>
      <c r="D696" s="3"/>
      <c r="E696" s="3"/>
      <c r="F696" s="3"/>
      <c r="G696" s="3"/>
      <c r="H696" s="3"/>
      <c r="I696" s="3"/>
      <c r="J696" s="3"/>
      <c r="K696" s="3"/>
    </row>
    <row r="697" spans="1:11" hidden="1" x14ac:dyDescent="0.3">
      <c r="A697" s="3"/>
      <c r="B697" s="3"/>
      <c r="C697" s="3"/>
      <c r="D697" s="3"/>
      <c r="E697" s="3"/>
      <c r="F697" s="3"/>
      <c r="G697" s="3"/>
      <c r="H697" s="3"/>
      <c r="I697" s="3"/>
      <c r="J697" s="3"/>
      <c r="K697" s="3"/>
    </row>
    <row r="698" spans="1:11" hidden="1" x14ac:dyDescent="0.3">
      <c r="A698" s="3"/>
      <c r="B698" s="3"/>
      <c r="C698" s="3"/>
      <c r="D698" s="3"/>
      <c r="E698" s="3"/>
      <c r="F698" s="3"/>
      <c r="G698" s="3"/>
      <c r="H698" s="3"/>
      <c r="I698" s="3"/>
      <c r="J698" s="3"/>
      <c r="K698" s="3"/>
    </row>
    <row r="699" spans="1:11" hidden="1" x14ac:dyDescent="0.3">
      <c r="A699" s="3"/>
      <c r="B699" s="3"/>
      <c r="C699" s="3"/>
      <c r="D699" s="3"/>
      <c r="E699" s="3"/>
      <c r="F699" s="3"/>
      <c r="G699" s="3"/>
      <c r="H699" s="3"/>
      <c r="I699" s="3"/>
      <c r="J699" s="3"/>
      <c r="K699" s="3"/>
    </row>
    <row r="700" spans="1:11" hidden="1" x14ac:dyDescent="0.3">
      <c r="A700" s="3"/>
      <c r="B700" s="3"/>
      <c r="C700" s="3"/>
      <c r="D700" s="3"/>
      <c r="E700" s="3"/>
      <c r="F700" s="3"/>
      <c r="G700" s="3"/>
      <c r="H700" s="3"/>
      <c r="I700" s="3"/>
      <c r="J700" s="3"/>
      <c r="K700" s="3"/>
    </row>
    <row r="701" spans="1:11" hidden="1" x14ac:dyDescent="0.3">
      <c r="A701" s="3"/>
      <c r="B701" s="3"/>
      <c r="C701" s="3"/>
      <c r="D701" s="3"/>
      <c r="E701" s="3"/>
      <c r="F701" s="3"/>
      <c r="G701" s="3"/>
      <c r="H701" s="3"/>
      <c r="I701" s="3"/>
      <c r="J701" s="3"/>
      <c r="K701" s="3"/>
    </row>
    <row r="702" spans="1:11" hidden="1" x14ac:dyDescent="0.3">
      <c r="A702" s="3"/>
      <c r="B702" s="3"/>
      <c r="C702" s="3"/>
      <c r="D702" s="3"/>
      <c r="E702" s="3"/>
      <c r="F702" s="3"/>
      <c r="G702" s="3"/>
      <c r="H702" s="3"/>
      <c r="I702" s="3"/>
      <c r="J702" s="3"/>
      <c r="K702" s="3"/>
    </row>
    <row r="703" spans="1:11" hidden="1" x14ac:dyDescent="0.3">
      <c r="A703" s="3"/>
      <c r="B703" s="3"/>
      <c r="C703" s="3"/>
      <c r="D703" s="3"/>
      <c r="E703" s="3"/>
      <c r="F703" s="3"/>
      <c r="G703" s="3"/>
      <c r="H703" s="3"/>
      <c r="I703" s="3"/>
      <c r="J703" s="3"/>
      <c r="K703" s="3"/>
    </row>
    <row r="704" spans="1:11" hidden="1" x14ac:dyDescent="0.3">
      <c r="A704" s="3"/>
      <c r="B704" s="3"/>
      <c r="C704" s="3"/>
      <c r="D704" s="3"/>
      <c r="E704" s="3"/>
      <c r="F704" s="3"/>
      <c r="G704" s="3"/>
      <c r="H704" s="3"/>
      <c r="I704" s="3"/>
      <c r="J704" s="3"/>
      <c r="K704" s="3"/>
    </row>
    <row r="705" spans="1:11" hidden="1" x14ac:dyDescent="0.3">
      <c r="A705" s="3"/>
      <c r="B705" s="3"/>
      <c r="C705" s="3"/>
      <c r="D705" s="3"/>
      <c r="E705" s="3"/>
      <c r="F705" s="3"/>
      <c r="G705" s="3"/>
      <c r="H705" s="3"/>
      <c r="I705" s="3"/>
      <c r="J705" s="3"/>
      <c r="K705" s="3"/>
    </row>
    <row r="706" spans="1:11" hidden="1" x14ac:dyDescent="0.3">
      <c r="A706" s="3"/>
      <c r="B706" s="3"/>
      <c r="C706" s="3"/>
      <c r="D706" s="3"/>
      <c r="E706" s="3"/>
      <c r="F706" s="3"/>
      <c r="G706" s="3"/>
      <c r="H706" s="3"/>
      <c r="I706" s="3"/>
      <c r="J706" s="3"/>
      <c r="K706" s="3"/>
    </row>
    <row r="707" spans="1:11" hidden="1" x14ac:dyDescent="0.3">
      <c r="A707" s="3"/>
      <c r="B707" s="3"/>
      <c r="C707" s="3"/>
      <c r="D707" s="3"/>
      <c r="E707" s="3"/>
      <c r="F707" s="3"/>
      <c r="G707" s="3"/>
      <c r="H707" s="3"/>
      <c r="I707" s="3"/>
      <c r="J707" s="3"/>
      <c r="K707" s="3"/>
    </row>
    <row r="708" spans="1:11" hidden="1" x14ac:dyDescent="0.3">
      <c r="A708" s="3"/>
      <c r="B708" s="3"/>
      <c r="C708" s="3"/>
      <c r="D708" s="3"/>
      <c r="E708" s="3"/>
      <c r="F708" s="3"/>
      <c r="G708" s="3"/>
      <c r="H708" s="3"/>
      <c r="I708" s="3"/>
      <c r="J708" s="3"/>
      <c r="K708" s="3"/>
    </row>
    <row r="709" spans="1:11" hidden="1" x14ac:dyDescent="0.3">
      <c r="A709" s="3"/>
      <c r="B709" s="3"/>
      <c r="C709" s="3"/>
      <c r="D709" s="3"/>
      <c r="E709" s="3"/>
      <c r="F709" s="3"/>
      <c r="G709" s="3"/>
      <c r="H709" s="3"/>
      <c r="I709" s="3"/>
      <c r="J709" s="3"/>
      <c r="K709" s="3"/>
    </row>
    <row r="710" spans="1:11" hidden="1" x14ac:dyDescent="0.3">
      <c r="A710" s="3"/>
      <c r="B710" s="3"/>
      <c r="C710" s="3"/>
      <c r="D710" s="3"/>
      <c r="E710" s="3"/>
      <c r="F710" s="3"/>
      <c r="G710" s="3"/>
      <c r="H710" s="3"/>
      <c r="I710" s="3"/>
      <c r="J710" s="3"/>
      <c r="K710" s="3"/>
    </row>
    <row r="711" spans="1:11" hidden="1" x14ac:dyDescent="0.3">
      <c r="A711" s="3"/>
      <c r="B711" s="3"/>
      <c r="C711" s="3"/>
      <c r="D711" s="3"/>
      <c r="E711" s="3"/>
      <c r="F711" s="3"/>
      <c r="G711" s="3"/>
      <c r="H711" s="3"/>
      <c r="I711" s="3"/>
      <c r="J711" s="3"/>
      <c r="K711" s="3"/>
    </row>
    <row r="712" spans="1:11" hidden="1" x14ac:dyDescent="0.3">
      <c r="A712" s="3"/>
      <c r="B712" s="3"/>
      <c r="C712" s="3"/>
      <c r="D712" s="3"/>
      <c r="E712" s="3"/>
      <c r="F712" s="3"/>
      <c r="G712" s="3"/>
      <c r="H712" s="3"/>
      <c r="I712" s="3"/>
      <c r="J712" s="3"/>
      <c r="K712" s="3"/>
    </row>
    <row r="713" spans="1:11" hidden="1" x14ac:dyDescent="0.3">
      <c r="A713" s="3"/>
      <c r="B713" s="3"/>
      <c r="C713" s="3"/>
      <c r="D713" s="3"/>
      <c r="E713" s="3"/>
      <c r="F713" s="3"/>
      <c r="G713" s="3"/>
      <c r="H713" s="3"/>
      <c r="I713" s="3"/>
      <c r="J713" s="3"/>
      <c r="K713" s="3"/>
    </row>
    <row r="714" spans="1:11" hidden="1" x14ac:dyDescent="0.3">
      <c r="A714" s="3"/>
      <c r="B714" s="3"/>
      <c r="C714" s="3"/>
      <c r="D714" s="3"/>
      <c r="E714" s="3"/>
      <c r="F714" s="3"/>
      <c r="G714" s="3"/>
      <c r="H714" s="3"/>
      <c r="I714" s="3"/>
      <c r="J714" s="3"/>
      <c r="K714" s="3"/>
    </row>
    <row r="715" spans="1:11" hidden="1" x14ac:dyDescent="0.3">
      <c r="A715" s="3"/>
      <c r="B715" s="3"/>
      <c r="C715" s="3"/>
      <c r="D715" s="3"/>
      <c r="E715" s="3"/>
      <c r="F715" s="3"/>
      <c r="G715" s="3"/>
      <c r="H715" s="3"/>
      <c r="I715" s="3"/>
      <c r="J715" s="3"/>
      <c r="K715" s="3"/>
    </row>
    <row r="716" spans="1:11" hidden="1" x14ac:dyDescent="0.3">
      <c r="A716" s="3"/>
      <c r="B716" s="3"/>
      <c r="C716" s="3"/>
      <c r="D716" s="3"/>
      <c r="E716" s="3"/>
      <c r="F716" s="3"/>
      <c r="G716" s="3"/>
      <c r="H716" s="3"/>
      <c r="I716" s="3"/>
      <c r="J716" s="3"/>
      <c r="K716" s="3"/>
    </row>
    <row r="717" spans="1:11" hidden="1" x14ac:dyDescent="0.3">
      <c r="A717" s="3"/>
      <c r="B717" s="3"/>
      <c r="C717" s="3"/>
      <c r="D717" s="3"/>
      <c r="E717" s="3"/>
      <c r="F717" s="3"/>
      <c r="G717" s="3"/>
      <c r="H717" s="3"/>
      <c r="I717" s="3"/>
      <c r="J717" s="3"/>
      <c r="K717" s="3"/>
    </row>
    <row r="718" spans="1:11" hidden="1" x14ac:dyDescent="0.3">
      <c r="A718" s="3"/>
      <c r="B718" s="3"/>
      <c r="C718" s="3"/>
      <c r="D718" s="3"/>
      <c r="E718" s="3"/>
      <c r="F718" s="3"/>
      <c r="G718" s="3"/>
      <c r="H718" s="3"/>
      <c r="I718" s="3"/>
      <c r="J718" s="3"/>
      <c r="K718" s="3"/>
    </row>
    <row r="719" spans="1:11" hidden="1" x14ac:dyDescent="0.3">
      <c r="A719" s="3"/>
      <c r="B719" s="3"/>
      <c r="C719" s="3"/>
      <c r="D719" s="3"/>
      <c r="E719" s="3"/>
      <c r="F719" s="3"/>
      <c r="G719" s="3"/>
      <c r="H719" s="3"/>
      <c r="I719" s="3"/>
      <c r="J719" s="3"/>
      <c r="K719" s="3"/>
    </row>
    <row r="720" spans="1:11" hidden="1" x14ac:dyDescent="0.3">
      <c r="A720" s="3"/>
      <c r="B720" s="3"/>
      <c r="C720" s="3"/>
      <c r="D720" s="3"/>
      <c r="E720" s="3"/>
      <c r="F720" s="3"/>
      <c r="G720" s="3"/>
      <c r="H720" s="3"/>
      <c r="I720" s="3"/>
      <c r="J720" s="3"/>
      <c r="K720" s="3"/>
    </row>
    <row r="721" spans="1:11" hidden="1" x14ac:dyDescent="0.3">
      <c r="A721" s="3"/>
      <c r="B721" s="3"/>
      <c r="C721" s="3"/>
      <c r="D721" s="3"/>
      <c r="E721" s="3"/>
      <c r="F721" s="3"/>
      <c r="G721" s="3"/>
      <c r="H721" s="3"/>
      <c r="I721" s="3"/>
      <c r="J721" s="3"/>
      <c r="K721" s="3"/>
    </row>
    <row r="722" spans="1:11" hidden="1" x14ac:dyDescent="0.3">
      <c r="A722" s="3"/>
      <c r="B722" s="3"/>
      <c r="C722" s="3"/>
      <c r="D722" s="3"/>
      <c r="E722" s="3"/>
      <c r="F722" s="3"/>
      <c r="G722" s="3"/>
      <c r="H722" s="3"/>
      <c r="I722" s="3"/>
      <c r="J722" s="3"/>
      <c r="K722" s="3"/>
    </row>
    <row r="723" spans="1:11" hidden="1" x14ac:dyDescent="0.3">
      <c r="A723" s="3"/>
      <c r="B723" s="3"/>
      <c r="C723" s="3"/>
      <c r="D723" s="3"/>
      <c r="E723" s="3"/>
      <c r="F723" s="3"/>
      <c r="G723" s="3"/>
      <c r="H723" s="3"/>
      <c r="I723" s="3"/>
      <c r="J723" s="3"/>
      <c r="K723" s="3"/>
    </row>
    <row r="724" spans="1:11" hidden="1" x14ac:dyDescent="0.3">
      <c r="A724" s="3"/>
      <c r="B724" s="3"/>
      <c r="C724" s="3"/>
      <c r="D724" s="3"/>
      <c r="E724" s="3"/>
      <c r="F724" s="3"/>
      <c r="G724" s="3"/>
      <c r="H724" s="3"/>
      <c r="I724" s="3"/>
      <c r="J724" s="3"/>
      <c r="K724" s="3"/>
    </row>
    <row r="725" spans="1:11" hidden="1" x14ac:dyDescent="0.3">
      <c r="A725" s="3"/>
      <c r="B725" s="3"/>
      <c r="C725" s="3"/>
      <c r="D725" s="3"/>
      <c r="E725" s="3"/>
      <c r="F725" s="3"/>
      <c r="G725" s="3"/>
      <c r="H725" s="3"/>
      <c r="I725" s="3"/>
      <c r="J725" s="3"/>
      <c r="K725" s="3"/>
    </row>
    <row r="726" spans="1:11" hidden="1" x14ac:dyDescent="0.3">
      <c r="A726" s="3"/>
      <c r="B726" s="3"/>
      <c r="C726" s="3"/>
      <c r="D726" s="3"/>
      <c r="E726" s="3"/>
      <c r="F726" s="3"/>
      <c r="G726" s="3"/>
      <c r="H726" s="3"/>
      <c r="I726" s="3"/>
      <c r="J726" s="3"/>
      <c r="K726" s="3"/>
    </row>
    <row r="727" spans="1:11" hidden="1" x14ac:dyDescent="0.3">
      <c r="A727" s="3"/>
      <c r="B727" s="3"/>
      <c r="C727" s="3"/>
      <c r="D727" s="3"/>
      <c r="E727" s="3"/>
      <c r="F727" s="3"/>
      <c r="G727" s="3"/>
      <c r="H727" s="3"/>
      <c r="I727" s="3"/>
      <c r="J727" s="3"/>
      <c r="K727" s="3"/>
    </row>
    <row r="728" spans="1:11" hidden="1" x14ac:dyDescent="0.3">
      <c r="A728" s="3"/>
      <c r="B728" s="3"/>
      <c r="C728" s="3"/>
      <c r="D728" s="3"/>
      <c r="E728" s="3"/>
      <c r="F728" s="3"/>
      <c r="G728" s="3"/>
      <c r="H728" s="3"/>
      <c r="I728" s="3"/>
      <c r="J728" s="3"/>
      <c r="K728" s="3"/>
    </row>
    <row r="729" spans="1:11" hidden="1" x14ac:dyDescent="0.3">
      <c r="A729" s="3"/>
      <c r="B729" s="3"/>
      <c r="C729" s="3"/>
      <c r="D729" s="3"/>
      <c r="E729" s="3"/>
      <c r="F729" s="3"/>
      <c r="G729" s="3"/>
      <c r="H729" s="3"/>
      <c r="I729" s="3"/>
      <c r="J729" s="3"/>
      <c r="K729" s="3"/>
    </row>
    <row r="730" spans="1:11" hidden="1" x14ac:dyDescent="0.3">
      <c r="A730" s="3"/>
      <c r="B730" s="3"/>
      <c r="C730" s="3"/>
      <c r="D730" s="3"/>
      <c r="E730" s="3"/>
      <c r="F730" s="3"/>
      <c r="G730" s="3"/>
      <c r="H730" s="3"/>
      <c r="I730" s="3"/>
      <c r="J730" s="3"/>
      <c r="K730" s="3"/>
    </row>
    <row r="731" spans="1:11" hidden="1" x14ac:dyDescent="0.3">
      <c r="A731" s="3"/>
      <c r="B731" s="3"/>
      <c r="C731" s="3"/>
      <c r="D731" s="3"/>
      <c r="E731" s="3"/>
      <c r="F731" s="3"/>
      <c r="G731" s="3"/>
      <c r="H731" s="3"/>
      <c r="I731" s="3"/>
      <c r="J731" s="3"/>
      <c r="K731" s="3"/>
    </row>
    <row r="732" spans="1:11" hidden="1" x14ac:dyDescent="0.3">
      <c r="A732" s="3"/>
      <c r="B732" s="3"/>
      <c r="C732" s="3"/>
      <c r="D732" s="3"/>
      <c r="E732" s="3"/>
      <c r="F732" s="3"/>
      <c r="G732" s="3"/>
      <c r="H732" s="3"/>
      <c r="I732" s="3"/>
      <c r="J732" s="3"/>
      <c r="K732" s="3"/>
    </row>
    <row r="733" spans="1:11" hidden="1" x14ac:dyDescent="0.3">
      <c r="A733" s="3"/>
      <c r="B733" s="3"/>
      <c r="C733" s="3"/>
      <c r="D733" s="3"/>
      <c r="E733" s="3"/>
      <c r="F733" s="3"/>
      <c r="G733" s="3"/>
      <c r="H733" s="3"/>
      <c r="I733" s="3"/>
      <c r="J733" s="3"/>
      <c r="K733" s="3"/>
    </row>
    <row r="734" spans="1:11" hidden="1" x14ac:dyDescent="0.3">
      <c r="A734" s="3"/>
      <c r="B734" s="3"/>
      <c r="C734" s="3"/>
      <c r="D734" s="3"/>
      <c r="E734" s="3"/>
      <c r="F734" s="3"/>
      <c r="G734" s="3"/>
      <c r="H734" s="3"/>
      <c r="I734" s="3"/>
      <c r="J734" s="3"/>
      <c r="K734" s="3"/>
    </row>
    <row r="735" spans="1:11" hidden="1" x14ac:dyDescent="0.3">
      <c r="A735" s="3"/>
      <c r="B735" s="3"/>
      <c r="C735" s="3"/>
      <c r="D735" s="3"/>
      <c r="E735" s="3"/>
      <c r="F735" s="3"/>
      <c r="G735" s="3"/>
      <c r="H735" s="3"/>
      <c r="I735" s="3"/>
      <c r="J735" s="3"/>
      <c r="K735" s="3"/>
    </row>
    <row r="736" spans="1:11" hidden="1" x14ac:dyDescent="0.3">
      <c r="A736" s="3"/>
      <c r="B736" s="3"/>
      <c r="C736" s="3"/>
      <c r="D736" s="3"/>
      <c r="E736" s="3"/>
      <c r="F736" s="3"/>
      <c r="G736" s="3"/>
      <c r="H736" s="3"/>
      <c r="I736" s="3"/>
      <c r="J736" s="3"/>
      <c r="K736" s="3"/>
    </row>
    <row r="737" spans="1:11" hidden="1" x14ac:dyDescent="0.3">
      <c r="A737" s="3"/>
      <c r="B737" s="3"/>
      <c r="C737" s="3"/>
      <c r="D737" s="3"/>
      <c r="E737" s="3"/>
      <c r="F737" s="3"/>
      <c r="G737" s="3"/>
      <c r="H737" s="3"/>
      <c r="I737" s="3"/>
      <c r="J737" s="3"/>
      <c r="K737" s="3"/>
    </row>
    <row r="738" spans="1:11" hidden="1" x14ac:dyDescent="0.3">
      <c r="A738" s="3"/>
      <c r="B738" s="3"/>
      <c r="C738" s="3"/>
      <c r="D738" s="3"/>
      <c r="E738" s="3"/>
      <c r="F738" s="3"/>
      <c r="G738" s="3"/>
      <c r="H738" s="3"/>
      <c r="I738" s="3"/>
      <c r="J738" s="3"/>
      <c r="K738" s="3"/>
    </row>
    <row r="739" spans="1:11" hidden="1" x14ac:dyDescent="0.3">
      <c r="A739" s="3"/>
      <c r="B739" s="3"/>
      <c r="C739" s="3"/>
      <c r="D739" s="3"/>
      <c r="E739" s="3"/>
      <c r="F739" s="3"/>
      <c r="G739" s="3"/>
      <c r="H739" s="3"/>
      <c r="I739" s="3"/>
      <c r="J739" s="3"/>
      <c r="K739" s="3"/>
    </row>
    <row r="740" spans="1:11" hidden="1" x14ac:dyDescent="0.3">
      <c r="A740" s="3"/>
      <c r="B740" s="3"/>
      <c r="C740" s="3"/>
      <c r="D740" s="3"/>
      <c r="E740" s="3"/>
      <c r="F740" s="3"/>
      <c r="G740" s="3"/>
      <c r="H740" s="3"/>
      <c r="I740" s="3"/>
      <c r="J740" s="3"/>
      <c r="K740" s="3"/>
    </row>
    <row r="741" spans="1:11" hidden="1" x14ac:dyDescent="0.3">
      <c r="A741" s="3"/>
      <c r="B741" s="3"/>
      <c r="C741" s="3"/>
      <c r="D741" s="3"/>
      <c r="E741" s="3"/>
      <c r="F741" s="3"/>
      <c r="G741" s="3"/>
      <c r="H741" s="3"/>
      <c r="I741" s="3"/>
      <c r="J741" s="3"/>
      <c r="K741" s="3"/>
    </row>
    <row r="742" spans="1:11" hidden="1" x14ac:dyDescent="0.3">
      <c r="A742" s="3"/>
      <c r="B742" s="3"/>
      <c r="C742" s="3"/>
      <c r="D742" s="3"/>
      <c r="E742" s="3"/>
      <c r="F742" s="3"/>
      <c r="G742" s="3"/>
      <c r="H742" s="3"/>
      <c r="I742" s="3"/>
      <c r="J742" s="3"/>
      <c r="K742" s="3"/>
    </row>
    <row r="743" spans="1:11" hidden="1" x14ac:dyDescent="0.3">
      <c r="A743" s="3"/>
      <c r="B743" s="3"/>
      <c r="C743" s="3"/>
      <c r="D743" s="3"/>
      <c r="E743" s="3"/>
      <c r="F743" s="3"/>
      <c r="G743" s="3"/>
      <c r="H743" s="3"/>
      <c r="I743" s="3"/>
      <c r="J743" s="3"/>
      <c r="K743" s="3"/>
    </row>
    <row r="744" spans="1:11" hidden="1" x14ac:dyDescent="0.3">
      <c r="A744" s="3"/>
      <c r="B744" s="3"/>
      <c r="C744" s="3"/>
      <c r="D744" s="3"/>
      <c r="E744" s="3"/>
      <c r="F744" s="3"/>
      <c r="G744" s="3"/>
      <c r="H744" s="3"/>
      <c r="I744" s="3"/>
      <c r="J744" s="3"/>
      <c r="K744" s="3"/>
    </row>
    <row r="745" spans="1:11" hidden="1" x14ac:dyDescent="0.3">
      <c r="A745" s="3"/>
      <c r="B745" s="3"/>
      <c r="C745" s="3"/>
      <c r="D745" s="3"/>
      <c r="E745" s="3"/>
      <c r="F745" s="3"/>
      <c r="G745" s="3"/>
      <c r="H745" s="3"/>
      <c r="I745" s="3"/>
      <c r="J745" s="3"/>
      <c r="K745" s="3"/>
    </row>
    <row r="746" spans="1:11" hidden="1" x14ac:dyDescent="0.3">
      <c r="A746" s="3"/>
      <c r="B746" s="3"/>
      <c r="C746" s="3"/>
      <c r="D746" s="3"/>
      <c r="E746" s="3"/>
      <c r="F746" s="3"/>
      <c r="G746" s="3"/>
      <c r="H746" s="3"/>
      <c r="I746" s="3"/>
      <c r="J746" s="3"/>
      <c r="K746" s="3"/>
    </row>
    <row r="747" spans="1:11" hidden="1" x14ac:dyDescent="0.3">
      <c r="A747" s="3"/>
      <c r="B747" s="3"/>
      <c r="C747" s="3"/>
      <c r="D747" s="3"/>
      <c r="E747" s="3"/>
      <c r="F747" s="3"/>
      <c r="G747" s="3"/>
      <c r="H747" s="3"/>
      <c r="I747" s="3"/>
      <c r="J747" s="3"/>
      <c r="K747" s="3"/>
    </row>
    <row r="748" spans="1:11" hidden="1" x14ac:dyDescent="0.3">
      <c r="A748" s="3"/>
      <c r="B748" s="3"/>
      <c r="C748" s="3"/>
      <c r="D748" s="3"/>
      <c r="E748" s="3"/>
      <c r="F748" s="3"/>
      <c r="G748" s="3"/>
      <c r="H748" s="3"/>
      <c r="I748" s="3"/>
      <c r="J748" s="3"/>
      <c r="K748" s="3"/>
    </row>
    <row r="749" spans="1:11" hidden="1" x14ac:dyDescent="0.3">
      <c r="A749" s="3"/>
      <c r="B749" s="3"/>
      <c r="C749" s="3"/>
      <c r="D749" s="3"/>
      <c r="E749" s="3"/>
      <c r="F749" s="3"/>
      <c r="G749" s="3"/>
      <c r="H749" s="3"/>
      <c r="I749" s="3"/>
      <c r="J749" s="3"/>
      <c r="K749" s="3"/>
    </row>
    <row r="750" spans="1:11" hidden="1" x14ac:dyDescent="0.3">
      <c r="A750" s="3"/>
      <c r="B750" s="3"/>
      <c r="C750" s="3"/>
      <c r="D750" s="3"/>
      <c r="E750" s="3"/>
      <c r="F750" s="3"/>
      <c r="G750" s="3"/>
      <c r="H750" s="3"/>
      <c r="I750" s="3"/>
      <c r="J750" s="3"/>
      <c r="K750" s="3"/>
    </row>
    <row r="751" spans="1:11" hidden="1" x14ac:dyDescent="0.3">
      <c r="A751" s="3"/>
      <c r="B751" s="3"/>
      <c r="C751" s="3"/>
      <c r="D751" s="3"/>
      <c r="E751" s="3"/>
      <c r="F751" s="3"/>
      <c r="G751" s="3"/>
      <c r="H751" s="3"/>
      <c r="I751" s="3"/>
      <c r="J751" s="3"/>
      <c r="K751" s="3"/>
    </row>
    <row r="752" spans="1:11" hidden="1" x14ac:dyDescent="0.3">
      <c r="A752" s="3"/>
      <c r="B752" s="3"/>
      <c r="C752" s="3"/>
      <c r="D752" s="3"/>
      <c r="E752" s="3"/>
      <c r="F752" s="3"/>
      <c r="G752" s="3"/>
      <c r="H752" s="3"/>
      <c r="I752" s="3"/>
      <c r="J752" s="3"/>
      <c r="K752" s="3"/>
    </row>
    <row r="753" spans="1:11" hidden="1" x14ac:dyDescent="0.3">
      <c r="A753" s="3"/>
      <c r="B753" s="3"/>
      <c r="C753" s="3"/>
      <c r="D753" s="3"/>
      <c r="E753" s="3"/>
      <c r="F753" s="3"/>
      <c r="G753" s="3"/>
      <c r="H753" s="3"/>
      <c r="I753" s="3"/>
      <c r="J753" s="3"/>
      <c r="K753" s="3"/>
    </row>
    <row r="754" spans="1:11" hidden="1" x14ac:dyDescent="0.3">
      <c r="A754" s="3"/>
      <c r="B754" s="3"/>
      <c r="C754" s="3"/>
      <c r="D754" s="3"/>
      <c r="E754" s="3"/>
      <c r="F754" s="3"/>
      <c r="G754" s="3"/>
      <c r="H754" s="3"/>
      <c r="I754" s="3"/>
      <c r="J754" s="3"/>
      <c r="K754" s="3"/>
    </row>
    <row r="755" spans="1:11" hidden="1" x14ac:dyDescent="0.3">
      <c r="A755" s="3"/>
      <c r="B755" s="3"/>
      <c r="C755" s="3"/>
      <c r="D755" s="3"/>
      <c r="E755" s="3"/>
      <c r="F755" s="3"/>
      <c r="G755" s="3"/>
      <c r="H755" s="3"/>
      <c r="I755" s="3"/>
      <c r="J755" s="3"/>
      <c r="K755" s="3"/>
    </row>
    <row r="756" spans="1:11" hidden="1" x14ac:dyDescent="0.3">
      <c r="A756" s="3"/>
      <c r="B756" s="3"/>
      <c r="C756" s="3"/>
      <c r="D756" s="3"/>
      <c r="E756" s="3"/>
      <c r="F756" s="3"/>
      <c r="G756" s="3"/>
      <c r="H756" s="3"/>
      <c r="I756" s="3"/>
      <c r="J756" s="3"/>
      <c r="K756" s="3"/>
    </row>
    <row r="757" spans="1:11" hidden="1" x14ac:dyDescent="0.3">
      <c r="A757" s="3"/>
      <c r="B757" s="3"/>
      <c r="C757" s="3"/>
      <c r="D757" s="3"/>
      <c r="E757" s="3"/>
      <c r="F757" s="3"/>
      <c r="G757" s="3"/>
      <c r="H757" s="3"/>
      <c r="I757" s="3"/>
      <c r="J757" s="3"/>
      <c r="K757" s="3"/>
    </row>
    <row r="758" spans="1:11" hidden="1" x14ac:dyDescent="0.3">
      <c r="A758" s="3"/>
      <c r="B758" s="3"/>
      <c r="C758" s="3"/>
      <c r="D758" s="3"/>
      <c r="E758" s="3"/>
      <c r="F758" s="3"/>
      <c r="G758" s="3"/>
      <c r="H758" s="3"/>
      <c r="I758" s="3"/>
      <c r="J758" s="3"/>
      <c r="K758" s="3"/>
    </row>
    <row r="759" spans="1:11" hidden="1" x14ac:dyDescent="0.3">
      <c r="A759" s="3"/>
      <c r="B759" s="3"/>
      <c r="C759" s="3"/>
      <c r="D759" s="3"/>
      <c r="E759" s="3"/>
      <c r="F759" s="3"/>
      <c r="G759" s="3"/>
      <c r="H759" s="3"/>
      <c r="I759" s="3"/>
      <c r="J759" s="3"/>
      <c r="K759" s="3"/>
    </row>
    <row r="760" spans="1:11" hidden="1" x14ac:dyDescent="0.3">
      <c r="A760" s="3"/>
      <c r="B760" s="3"/>
      <c r="C760" s="3"/>
      <c r="D760" s="3"/>
      <c r="E760" s="3"/>
      <c r="F760" s="3"/>
      <c r="G760" s="3"/>
      <c r="H760" s="3"/>
      <c r="I760" s="3"/>
      <c r="J760" s="3"/>
      <c r="K760" s="3"/>
    </row>
    <row r="761" spans="1:11" hidden="1" x14ac:dyDescent="0.3">
      <c r="A761" s="3"/>
      <c r="B761" s="3"/>
      <c r="C761" s="3"/>
      <c r="D761" s="3"/>
      <c r="E761" s="3"/>
      <c r="F761" s="3"/>
      <c r="G761" s="3"/>
      <c r="H761" s="3"/>
      <c r="I761" s="3"/>
      <c r="J761" s="3"/>
      <c r="K761" s="3"/>
    </row>
    <row r="762" spans="1:11" hidden="1" x14ac:dyDescent="0.3">
      <c r="A762" s="3"/>
      <c r="B762" s="3"/>
      <c r="C762" s="3"/>
      <c r="D762" s="3"/>
      <c r="E762" s="3"/>
      <c r="F762" s="3"/>
      <c r="G762" s="3"/>
      <c r="H762" s="3"/>
      <c r="I762" s="3"/>
      <c r="J762" s="3"/>
      <c r="K762" s="3"/>
    </row>
    <row r="763" spans="1:11" hidden="1" x14ac:dyDescent="0.3">
      <c r="A763" s="3"/>
      <c r="B763" s="3"/>
      <c r="C763" s="3"/>
      <c r="D763" s="3"/>
      <c r="E763" s="3"/>
      <c r="F763" s="3"/>
      <c r="G763" s="3"/>
      <c r="H763" s="3"/>
      <c r="I763" s="3"/>
      <c r="J763" s="3"/>
      <c r="K763" s="3"/>
    </row>
    <row r="764" spans="1:11" hidden="1" x14ac:dyDescent="0.3">
      <c r="A764" s="3"/>
      <c r="B764" s="3"/>
      <c r="C764" s="3"/>
      <c r="D764" s="3"/>
      <c r="E764" s="3"/>
      <c r="F764" s="3"/>
      <c r="G764" s="3"/>
      <c r="H764" s="3"/>
      <c r="I764" s="3"/>
      <c r="J764" s="3"/>
      <c r="K764" s="3"/>
    </row>
    <row r="765" spans="1:11" hidden="1" x14ac:dyDescent="0.3">
      <c r="A765" s="3"/>
      <c r="B765" s="3"/>
      <c r="C765" s="3"/>
      <c r="D765" s="3"/>
      <c r="E765" s="3"/>
      <c r="F765" s="3"/>
      <c r="G765" s="3"/>
      <c r="H765" s="3"/>
      <c r="I765" s="3"/>
      <c r="J765" s="3"/>
      <c r="K765" s="3"/>
    </row>
    <row r="766" spans="1:11" hidden="1" x14ac:dyDescent="0.3">
      <c r="A766" s="3"/>
      <c r="B766" s="3"/>
      <c r="C766" s="3"/>
      <c r="D766" s="3"/>
      <c r="E766" s="3"/>
      <c r="F766" s="3"/>
      <c r="G766" s="3"/>
      <c r="H766" s="3"/>
      <c r="I766" s="3"/>
      <c r="J766" s="3"/>
      <c r="K766" s="3"/>
    </row>
    <row r="767" spans="1:11" hidden="1" x14ac:dyDescent="0.3">
      <c r="A767" s="3"/>
      <c r="B767" s="3"/>
      <c r="C767" s="3"/>
      <c r="D767" s="3"/>
      <c r="E767" s="3"/>
      <c r="F767" s="3"/>
      <c r="G767" s="3"/>
      <c r="H767" s="3"/>
      <c r="I767" s="3"/>
      <c r="J767" s="3"/>
      <c r="K767" s="3"/>
    </row>
    <row r="768" spans="1:11" hidden="1" x14ac:dyDescent="0.3">
      <c r="A768" s="3"/>
      <c r="B768" s="3"/>
      <c r="C768" s="3"/>
      <c r="D768" s="3"/>
      <c r="E768" s="3"/>
      <c r="F768" s="3"/>
      <c r="G768" s="3"/>
      <c r="H768" s="3"/>
      <c r="I768" s="3"/>
      <c r="J768" s="3"/>
      <c r="K768" s="3"/>
    </row>
    <row r="769" spans="1:11" hidden="1" x14ac:dyDescent="0.3">
      <c r="A769" s="3"/>
      <c r="B769" s="3"/>
      <c r="C769" s="3"/>
      <c r="D769" s="3"/>
      <c r="E769" s="3"/>
      <c r="F769" s="3"/>
      <c r="G769" s="3"/>
      <c r="H769" s="3"/>
      <c r="I769" s="3"/>
      <c r="J769" s="3"/>
      <c r="K769" s="3"/>
    </row>
    <row r="770" spans="1:11" hidden="1" x14ac:dyDescent="0.3">
      <c r="A770" s="3"/>
      <c r="B770" s="3"/>
      <c r="C770" s="3"/>
      <c r="D770" s="3"/>
      <c r="E770" s="3"/>
      <c r="F770" s="3"/>
      <c r="G770" s="3"/>
      <c r="H770" s="3"/>
      <c r="I770" s="3"/>
      <c r="J770" s="3"/>
      <c r="K770" s="3"/>
    </row>
    <row r="771" spans="1:11" hidden="1" x14ac:dyDescent="0.3">
      <c r="A771" s="3"/>
      <c r="B771" s="3"/>
      <c r="C771" s="3"/>
      <c r="D771" s="3"/>
      <c r="E771" s="3"/>
      <c r="F771" s="3"/>
      <c r="G771" s="3"/>
      <c r="H771" s="3"/>
      <c r="I771" s="3"/>
      <c r="J771" s="3"/>
      <c r="K771" s="3"/>
    </row>
    <row r="772" spans="1:11" hidden="1" x14ac:dyDescent="0.3">
      <c r="A772" s="3"/>
      <c r="B772" s="3"/>
      <c r="C772" s="3"/>
      <c r="D772" s="3"/>
      <c r="E772" s="3"/>
      <c r="F772" s="3"/>
      <c r="G772" s="3"/>
      <c r="H772" s="3"/>
      <c r="I772" s="3"/>
      <c r="J772" s="3"/>
      <c r="K772" s="3"/>
    </row>
    <row r="773" spans="1:11" hidden="1" x14ac:dyDescent="0.3">
      <c r="A773" s="3"/>
      <c r="B773" s="3"/>
      <c r="C773" s="3"/>
      <c r="D773" s="3"/>
      <c r="E773" s="3"/>
      <c r="F773" s="3"/>
      <c r="G773" s="3"/>
      <c r="H773" s="3"/>
      <c r="I773" s="3"/>
      <c r="J773" s="3"/>
      <c r="K773" s="3"/>
    </row>
    <row r="774" spans="1:11" hidden="1" x14ac:dyDescent="0.3">
      <c r="A774" s="3"/>
      <c r="B774" s="3"/>
      <c r="C774" s="3"/>
      <c r="D774" s="3"/>
      <c r="E774" s="3"/>
      <c r="F774" s="3"/>
      <c r="G774" s="3"/>
      <c r="H774" s="3"/>
      <c r="I774" s="3"/>
      <c r="J774" s="3"/>
      <c r="K774" s="3"/>
    </row>
    <row r="775" spans="1:11" hidden="1" x14ac:dyDescent="0.3">
      <c r="A775" s="3"/>
      <c r="B775" s="3"/>
      <c r="C775" s="3"/>
      <c r="D775" s="3"/>
      <c r="E775" s="3"/>
      <c r="F775" s="3"/>
      <c r="G775" s="3"/>
      <c r="H775" s="3"/>
      <c r="I775" s="3"/>
      <c r="J775" s="3"/>
      <c r="K775" s="3"/>
    </row>
    <row r="776" spans="1:11" hidden="1" x14ac:dyDescent="0.3">
      <c r="A776" s="3"/>
      <c r="B776" s="3"/>
      <c r="C776" s="3"/>
      <c r="D776" s="3"/>
      <c r="E776" s="3"/>
      <c r="F776" s="3"/>
      <c r="G776" s="3"/>
      <c r="H776" s="3"/>
      <c r="I776" s="3"/>
      <c r="J776" s="3"/>
      <c r="K776" s="3"/>
    </row>
    <row r="777" spans="1:11" hidden="1" x14ac:dyDescent="0.3">
      <c r="A777" s="3"/>
      <c r="B777" s="3"/>
      <c r="C777" s="3"/>
      <c r="D777" s="3"/>
      <c r="E777" s="3"/>
      <c r="F777" s="3"/>
      <c r="G777" s="3"/>
      <c r="H777" s="3"/>
      <c r="I777" s="3"/>
      <c r="J777" s="3"/>
      <c r="K777" s="3"/>
    </row>
    <row r="778" spans="1:11" hidden="1" x14ac:dyDescent="0.3">
      <c r="A778" s="3"/>
      <c r="B778" s="3"/>
      <c r="C778" s="3"/>
      <c r="D778" s="3"/>
      <c r="E778" s="3"/>
      <c r="F778" s="3"/>
      <c r="G778" s="3"/>
      <c r="H778" s="3"/>
      <c r="I778" s="3"/>
      <c r="J778" s="3"/>
      <c r="K778" s="3"/>
    </row>
    <row r="779" spans="1:11" hidden="1" x14ac:dyDescent="0.3">
      <c r="A779" s="3"/>
      <c r="B779" s="3"/>
      <c r="C779" s="3"/>
      <c r="D779" s="3"/>
      <c r="E779" s="3"/>
      <c r="F779" s="3"/>
      <c r="G779" s="3"/>
      <c r="H779" s="3"/>
      <c r="I779" s="3"/>
      <c r="J779" s="3"/>
      <c r="K779" s="3"/>
    </row>
    <row r="780" spans="1:11" hidden="1" x14ac:dyDescent="0.3">
      <c r="A780" s="3"/>
      <c r="B780" s="3"/>
      <c r="C780" s="3"/>
      <c r="D780" s="3"/>
      <c r="E780" s="3"/>
      <c r="F780" s="3"/>
      <c r="G780" s="3"/>
      <c r="H780" s="3"/>
      <c r="I780" s="3"/>
      <c r="J780" s="3"/>
      <c r="K780" s="3"/>
    </row>
    <row r="781" spans="1:11" hidden="1" x14ac:dyDescent="0.3">
      <c r="A781" s="3"/>
      <c r="B781" s="3"/>
      <c r="C781" s="3"/>
      <c r="D781" s="3"/>
      <c r="E781" s="3"/>
      <c r="F781" s="3"/>
      <c r="G781" s="3"/>
      <c r="H781" s="3"/>
      <c r="I781" s="3"/>
      <c r="J781" s="3"/>
      <c r="K781" s="3"/>
    </row>
    <row r="782" spans="1:11" hidden="1" x14ac:dyDescent="0.3">
      <c r="A782" s="3"/>
      <c r="B782" s="3"/>
      <c r="C782" s="3"/>
      <c r="D782" s="3"/>
      <c r="E782" s="3"/>
      <c r="F782" s="3"/>
      <c r="G782" s="3"/>
      <c r="H782" s="3"/>
      <c r="I782" s="3"/>
      <c r="J782" s="3"/>
      <c r="K782" s="3"/>
    </row>
    <row r="783" spans="1:11" hidden="1" x14ac:dyDescent="0.3">
      <c r="A783" s="3"/>
      <c r="B783" s="3"/>
      <c r="C783" s="3"/>
      <c r="D783" s="3"/>
      <c r="E783" s="3"/>
      <c r="F783" s="3"/>
      <c r="G783" s="3"/>
      <c r="H783" s="3"/>
      <c r="I783" s="3"/>
      <c r="J783" s="3"/>
      <c r="K783" s="3"/>
    </row>
    <row r="784" spans="1:11" hidden="1" x14ac:dyDescent="0.3">
      <c r="A784" s="3"/>
      <c r="B784" s="3"/>
      <c r="C784" s="3"/>
      <c r="D784" s="3"/>
      <c r="E784" s="3"/>
      <c r="F784" s="3"/>
      <c r="G784" s="3"/>
      <c r="H784" s="3"/>
      <c r="I784" s="3"/>
      <c r="J784" s="3"/>
      <c r="K784" s="3"/>
    </row>
    <row r="785" spans="1:11" hidden="1" x14ac:dyDescent="0.3">
      <c r="A785" s="3"/>
      <c r="B785" s="3"/>
      <c r="C785" s="3"/>
      <c r="D785" s="3"/>
      <c r="E785" s="3"/>
      <c r="F785" s="3"/>
      <c r="G785" s="3"/>
      <c r="H785" s="3"/>
      <c r="I785" s="3"/>
      <c r="J785" s="3"/>
      <c r="K785" s="3"/>
    </row>
    <row r="786" spans="1:11" hidden="1" x14ac:dyDescent="0.3">
      <c r="A786" s="3"/>
      <c r="B786" s="3"/>
      <c r="C786" s="3"/>
      <c r="D786" s="3"/>
      <c r="E786" s="3"/>
      <c r="F786" s="3"/>
      <c r="G786" s="3"/>
      <c r="H786" s="3"/>
      <c r="I786" s="3"/>
      <c r="J786" s="3"/>
      <c r="K786" s="3"/>
    </row>
    <row r="787" spans="1:11" hidden="1" x14ac:dyDescent="0.3">
      <c r="A787" s="3"/>
      <c r="B787" s="3"/>
      <c r="C787" s="3"/>
      <c r="D787" s="3"/>
      <c r="E787" s="3"/>
      <c r="F787" s="3"/>
      <c r="G787" s="3"/>
      <c r="H787" s="3"/>
      <c r="I787" s="3"/>
      <c r="J787" s="3"/>
      <c r="K787" s="3"/>
    </row>
    <row r="788" spans="1:11" hidden="1" x14ac:dyDescent="0.3">
      <c r="A788" s="3"/>
      <c r="B788" s="3"/>
      <c r="C788" s="3"/>
      <c r="D788" s="3"/>
      <c r="E788" s="3"/>
      <c r="F788" s="3"/>
      <c r="G788" s="3"/>
      <c r="H788" s="3"/>
      <c r="I788" s="3"/>
      <c r="J788" s="3"/>
      <c r="K788" s="3"/>
    </row>
    <row r="789" spans="1:11" hidden="1" x14ac:dyDescent="0.3">
      <c r="A789" s="3"/>
      <c r="B789" s="3"/>
      <c r="C789" s="3"/>
      <c r="D789" s="3"/>
      <c r="E789" s="3"/>
      <c r="F789" s="3"/>
      <c r="G789" s="3"/>
      <c r="H789" s="3"/>
      <c r="I789" s="3"/>
      <c r="J789" s="3"/>
      <c r="K789" s="3"/>
    </row>
    <row r="790" spans="1:11" hidden="1" x14ac:dyDescent="0.3">
      <c r="A790" s="3"/>
      <c r="B790" s="3"/>
      <c r="C790" s="3"/>
      <c r="D790" s="3"/>
      <c r="E790" s="3"/>
      <c r="F790" s="3"/>
      <c r="G790" s="3"/>
      <c r="H790" s="3"/>
      <c r="I790" s="3"/>
      <c r="J790" s="3"/>
      <c r="K790" s="3"/>
    </row>
    <row r="791" spans="1:11" hidden="1" x14ac:dyDescent="0.3">
      <c r="A791" s="3"/>
      <c r="B791" s="3"/>
      <c r="C791" s="3"/>
      <c r="D791" s="3"/>
      <c r="E791" s="3"/>
      <c r="F791" s="3"/>
      <c r="G791" s="3"/>
      <c r="H791" s="3"/>
      <c r="I791" s="3"/>
      <c r="J791" s="3"/>
      <c r="K791" s="3"/>
    </row>
    <row r="792" spans="1:11" hidden="1" x14ac:dyDescent="0.3">
      <c r="A792" s="3"/>
      <c r="B792" s="3"/>
      <c r="C792" s="3"/>
      <c r="D792" s="3"/>
      <c r="E792" s="3"/>
      <c r="F792" s="3"/>
      <c r="G792" s="3"/>
      <c r="H792" s="3"/>
      <c r="I792" s="3"/>
      <c r="J792" s="3"/>
      <c r="K792" s="3"/>
    </row>
    <row r="793" spans="1:11" hidden="1" x14ac:dyDescent="0.3">
      <c r="A793" s="3"/>
      <c r="B793" s="3"/>
      <c r="C793" s="3"/>
      <c r="D793" s="3"/>
      <c r="E793" s="3"/>
      <c r="F793" s="3"/>
      <c r="G793" s="3"/>
      <c r="H793" s="3"/>
      <c r="I793" s="3"/>
      <c r="J793" s="3"/>
      <c r="K793" s="3"/>
    </row>
    <row r="794" spans="1:11" hidden="1" x14ac:dyDescent="0.3">
      <c r="A794" s="3"/>
      <c r="B794" s="3"/>
      <c r="C794" s="3"/>
      <c r="D794" s="3"/>
      <c r="E794" s="3"/>
      <c r="F794" s="3"/>
      <c r="G794" s="3"/>
      <c r="H794" s="3"/>
      <c r="I794" s="3"/>
      <c r="J794" s="3"/>
      <c r="K794" s="3"/>
    </row>
    <row r="795" spans="1:11" hidden="1" x14ac:dyDescent="0.3">
      <c r="A795" s="3"/>
      <c r="B795" s="3"/>
      <c r="C795" s="3"/>
      <c r="D795" s="3"/>
      <c r="E795" s="3"/>
      <c r="F795" s="3"/>
      <c r="G795" s="3"/>
      <c r="H795" s="3"/>
      <c r="I795" s="3"/>
      <c r="J795" s="3"/>
      <c r="K795" s="3"/>
    </row>
    <row r="796" spans="1:11" hidden="1" x14ac:dyDescent="0.3">
      <c r="A796" s="3"/>
      <c r="B796" s="3"/>
      <c r="C796" s="3"/>
      <c r="D796" s="3"/>
      <c r="E796" s="3"/>
      <c r="F796" s="3"/>
      <c r="G796" s="3"/>
      <c r="H796" s="3"/>
      <c r="I796" s="3"/>
      <c r="J796" s="3"/>
      <c r="K796" s="3"/>
    </row>
    <row r="797" spans="1:11" hidden="1" x14ac:dyDescent="0.3">
      <c r="A797" s="3"/>
      <c r="B797" s="3"/>
      <c r="C797" s="3"/>
      <c r="D797" s="3"/>
      <c r="E797" s="3"/>
      <c r="F797" s="3"/>
      <c r="G797" s="3"/>
      <c r="H797" s="3"/>
      <c r="I797" s="3"/>
      <c r="J797" s="3"/>
      <c r="K797" s="3"/>
    </row>
    <row r="798" spans="1:11" hidden="1" x14ac:dyDescent="0.3">
      <c r="A798" s="3"/>
      <c r="B798" s="3"/>
      <c r="C798" s="3"/>
      <c r="D798" s="3"/>
      <c r="E798" s="3"/>
      <c r="F798" s="3"/>
      <c r="G798" s="3"/>
      <c r="H798" s="3"/>
      <c r="I798" s="3"/>
      <c r="J798" s="3"/>
      <c r="K798" s="3"/>
    </row>
    <row r="799" spans="1:11" hidden="1" x14ac:dyDescent="0.3">
      <c r="A799" s="3"/>
      <c r="B799" s="3"/>
      <c r="C799" s="3"/>
      <c r="D799" s="3"/>
      <c r="E799" s="3"/>
      <c r="F799" s="3"/>
      <c r="G799" s="3"/>
      <c r="H799" s="3"/>
      <c r="I799" s="3"/>
      <c r="J799" s="3"/>
      <c r="K799" s="3"/>
    </row>
    <row r="800" spans="1:11" hidden="1" x14ac:dyDescent="0.3">
      <c r="A800" s="3"/>
      <c r="B800" s="3"/>
      <c r="C800" s="3"/>
      <c r="D800" s="3"/>
      <c r="E800" s="3"/>
      <c r="F800" s="3"/>
      <c r="G800" s="3"/>
      <c r="H800" s="3"/>
      <c r="I800" s="3"/>
      <c r="J800" s="3"/>
      <c r="K800" s="3"/>
    </row>
    <row r="801" spans="1:11" hidden="1" x14ac:dyDescent="0.3">
      <c r="A801" s="3"/>
      <c r="B801" s="3"/>
      <c r="C801" s="3"/>
      <c r="D801" s="3"/>
      <c r="E801" s="3"/>
      <c r="F801" s="3"/>
      <c r="G801" s="3"/>
      <c r="H801" s="3"/>
      <c r="I801" s="3"/>
      <c r="J801" s="3"/>
      <c r="K801" s="3"/>
    </row>
    <row r="802" spans="1:11" hidden="1" x14ac:dyDescent="0.3">
      <c r="A802" s="3"/>
      <c r="B802" s="3"/>
      <c r="C802" s="3"/>
      <c r="D802" s="3"/>
      <c r="E802" s="3"/>
      <c r="F802" s="3"/>
      <c r="G802" s="3"/>
      <c r="H802" s="3"/>
      <c r="I802" s="3"/>
      <c r="J802" s="3"/>
      <c r="K802" s="3"/>
    </row>
    <row r="803" spans="1:11" hidden="1" x14ac:dyDescent="0.3">
      <c r="A803" s="3"/>
      <c r="B803" s="3"/>
      <c r="C803" s="3"/>
      <c r="D803" s="3"/>
      <c r="E803" s="3"/>
      <c r="F803" s="3"/>
      <c r="G803" s="3"/>
      <c r="H803" s="3"/>
      <c r="I803" s="3"/>
      <c r="J803" s="3"/>
      <c r="K803" s="3"/>
    </row>
    <row r="804" spans="1:11" hidden="1" x14ac:dyDescent="0.3">
      <c r="A804" s="3"/>
      <c r="B804" s="3"/>
      <c r="C804" s="3"/>
      <c r="D804" s="3"/>
      <c r="E804" s="3"/>
      <c r="F804" s="3"/>
      <c r="G804" s="3"/>
      <c r="H804" s="3"/>
      <c r="I804" s="3"/>
      <c r="J804" s="3"/>
      <c r="K804" s="3"/>
    </row>
    <row r="805" spans="1:11" hidden="1" x14ac:dyDescent="0.3">
      <c r="A805" s="3"/>
      <c r="B805" s="3"/>
      <c r="C805" s="3"/>
      <c r="D805" s="3"/>
      <c r="E805" s="3"/>
      <c r="F805" s="3"/>
      <c r="G805" s="3"/>
      <c r="H805" s="3"/>
      <c r="I805" s="3"/>
      <c r="J805" s="3"/>
      <c r="K805" s="3"/>
    </row>
    <row r="806" spans="1:11" hidden="1" x14ac:dyDescent="0.3">
      <c r="A806" s="3"/>
      <c r="B806" s="3"/>
      <c r="C806" s="3"/>
      <c r="D806" s="3"/>
      <c r="E806" s="3"/>
      <c r="F806" s="3"/>
      <c r="G806" s="3"/>
      <c r="H806" s="3"/>
      <c r="I806" s="3"/>
      <c r="J806" s="3"/>
      <c r="K806" s="3"/>
    </row>
    <row r="807" spans="1:11" hidden="1" x14ac:dyDescent="0.3">
      <c r="A807" s="3"/>
      <c r="B807" s="3"/>
      <c r="C807" s="3"/>
      <c r="D807" s="3"/>
      <c r="E807" s="3"/>
      <c r="F807" s="3"/>
      <c r="G807" s="3"/>
      <c r="H807" s="3"/>
      <c r="I807" s="3"/>
      <c r="J807" s="3"/>
      <c r="K807" s="3"/>
    </row>
    <row r="808" spans="1:11" hidden="1" x14ac:dyDescent="0.3">
      <c r="A808" s="3"/>
      <c r="B808" s="3"/>
      <c r="C808" s="3"/>
      <c r="D808" s="3"/>
      <c r="E808" s="3"/>
      <c r="F808" s="3"/>
      <c r="G808" s="3"/>
      <c r="H808" s="3"/>
      <c r="I808" s="3"/>
      <c r="J808" s="3"/>
      <c r="K808" s="3"/>
    </row>
    <row r="809" spans="1:11" hidden="1" x14ac:dyDescent="0.3">
      <c r="A809" s="3"/>
      <c r="B809" s="3"/>
      <c r="C809" s="3"/>
      <c r="D809" s="3"/>
      <c r="E809" s="3"/>
      <c r="F809" s="3"/>
      <c r="G809" s="3"/>
      <c r="H809" s="3"/>
      <c r="I809" s="3"/>
      <c r="J809" s="3"/>
      <c r="K809" s="3"/>
    </row>
    <row r="810" spans="1:11" hidden="1" x14ac:dyDescent="0.3">
      <c r="A810" s="3"/>
      <c r="B810" s="3"/>
      <c r="C810" s="3"/>
      <c r="D810" s="3"/>
      <c r="E810" s="3"/>
      <c r="F810" s="3"/>
      <c r="G810" s="3"/>
      <c r="H810" s="3"/>
      <c r="I810" s="3"/>
      <c r="J810" s="3"/>
      <c r="K810" s="3"/>
    </row>
    <row r="811" spans="1:11" hidden="1" x14ac:dyDescent="0.3">
      <c r="A811" s="3"/>
      <c r="B811" s="3"/>
      <c r="C811" s="3"/>
      <c r="D811" s="3"/>
      <c r="E811" s="3"/>
      <c r="F811" s="3"/>
      <c r="G811" s="3"/>
      <c r="H811" s="3"/>
      <c r="I811" s="3"/>
      <c r="J811" s="3"/>
      <c r="K811" s="3"/>
    </row>
    <row r="812" spans="1:11" hidden="1" x14ac:dyDescent="0.3">
      <c r="A812" s="3"/>
      <c r="B812" s="3"/>
      <c r="C812" s="3"/>
      <c r="D812" s="3"/>
      <c r="E812" s="3"/>
      <c r="F812" s="3"/>
      <c r="G812" s="3"/>
      <c r="H812" s="3"/>
      <c r="I812" s="3"/>
      <c r="J812" s="3"/>
      <c r="K812" s="3"/>
    </row>
    <row r="813" spans="1:11" hidden="1" x14ac:dyDescent="0.3">
      <c r="A813" s="3"/>
      <c r="B813" s="3"/>
      <c r="C813" s="3"/>
      <c r="D813" s="3"/>
      <c r="E813" s="3"/>
      <c r="F813" s="3"/>
      <c r="G813" s="3"/>
      <c r="H813" s="3"/>
      <c r="I813" s="3"/>
      <c r="J813" s="3"/>
      <c r="K813" s="3"/>
    </row>
    <row r="814" spans="1:11" hidden="1" x14ac:dyDescent="0.3">
      <c r="A814" s="3"/>
      <c r="B814" s="3"/>
      <c r="C814" s="3"/>
      <c r="D814" s="3"/>
      <c r="E814" s="3"/>
      <c r="F814" s="3"/>
      <c r="G814" s="3"/>
      <c r="H814" s="3"/>
      <c r="I814" s="3"/>
      <c r="J814" s="3"/>
      <c r="K814" s="3"/>
    </row>
    <row r="815" spans="1:11" hidden="1" x14ac:dyDescent="0.3">
      <c r="A815" s="3"/>
      <c r="B815" s="3"/>
      <c r="C815" s="3"/>
      <c r="D815" s="3"/>
      <c r="E815" s="3"/>
      <c r="F815" s="3"/>
      <c r="G815" s="3"/>
      <c r="H815" s="3"/>
      <c r="I815" s="3"/>
      <c r="J815" s="3"/>
      <c r="K815" s="3"/>
    </row>
    <row r="816" spans="1:11" hidden="1" x14ac:dyDescent="0.3">
      <c r="A816" s="3"/>
      <c r="B816" s="3"/>
      <c r="C816" s="3"/>
      <c r="D816" s="3"/>
      <c r="E816" s="3"/>
      <c r="F816" s="3"/>
      <c r="G816" s="3"/>
      <c r="H816" s="3"/>
      <c r="I816" s="3"/>
      <c r="J816" s="3"/>
      <c r="K816" s="3"/>
    </row>
    <row r="817" spans="1:11" hidden="1" x14ac:dyDescent="0.3">
      <c r="A817" s="3"/>
      <c r="B817" s="3"/>
      <c r="C817" s="3"/>
      <c r="D817" s="3"/>
      <c r="E817" s="3"/>
      <c r="F817" s="3"/>
      <c r="G817" s="3"/>
      <c r="H817" s="3"/>
      <c r="I817" s="3"/>
      <c r="J817" s="3"/>
      <c r="K817" s="3"/>
    </row>
    <row r="818" spans="1:11" hidden="1" x14ac:dyDescent="0.3">
      <c r="A818" s="3"/>
      <c r="B818" s="3"/>
      <c r="C818" s="3"/>
      <c r="D818" s="3"/>
      <c r="E818" s="3"/>
      <c r="F818" s="3"/>
      <c r="G818" s="3"/>
      <c r="H818" s="3"/>
      <c r="I818" s="3"/>
      <c r="J818" s="3"/>
      <c r="K818" s="3"/>
    </row>
    <row r="819" spans="1:11" hidden="1" x14ac:dyDescent="0.3">
      <c r="A819" s="3"/>
      <c r="B819" s="3"/>
      <c r="C819" s="3"/>
      <c r="D819" s="3"/>
      <c r="E819" s="3"/>
      <c r="F819" s="3"/>
      <c r="G819" s="3"/>
      <c r="H819" s="3"/>
      <c r="I819" s="3"/>
      <c r="J819" s="3"/>
      <c r="K819" s="3"/>
    </row>
    <row r="820" spans="1:11" hidden="1" x14ac:dyDescent="0.3">
      <c r="A820" s="3"/>
      <c r="B820" s="3"/>
      <c r="C820" s="3"/>
      <c r="D820" s="3"/>
      <c r="E820" s="3"/>
      <c r="F820" s="3"/>
      <c r="G820" s="3"/>
      <c r="H820" s="3"/>
      <c r="I820" s="3"/>
      <c r="J820" s="3"/>
      <c r="K820" s="3"/>
    </row>
    <row r="821" spans="1:11" hidden="1" x14ac:dyDescent="0.3">
      <c r="A821" s="3"/>
      <c r="B821" s="3"/>
      <c r="C821" s="3"/>
      <c r="D821" s="3"/>
      <c r="E821" s="3"/>
      <c r="F821" s="3"/>
      <c r="G821" s="3"/>
      <c r="H821" s="3"/>
      <c r="I821" s="3"/>
      <c r="J821" s="3"/>
      <c r="K821" s="3"/>
    </row>
    <row r="822" spans="1:11" hidden="1" x14ac:dyDescent="0.3">
      <c r="A822" s="3"/>
      <c r="B822" s="3"/>
      <c r="C822" s="3"/>
      <c r="D822" s="3"/>
      <c r="E822" s="3"/>
      <c r="F822" s="3"/>
      <c r="G822" s="3"/>
      <c r="H822" s="3"/>
      <c r="I822" s="3"/>
      <c r="J822" s="3"/>
      <c r="K822" s="3"/>
    </row>
    <row r="823" spans="1:11" hidden="1" x14ac:dyDescent="0.3">
      <c r="A823" s="3"/>
      <c r="B823" s="3"/>
      <c r="C823" s="3"/>
      <c r="D823" s="3"/>
      <c r="E823" s="3"/>
      <c r="F823" s="3"/>
      <c r="G823" s="3"/>
      <c r="H823" s="3"/>
      <c r="I823" s="3"/>
      <c r="J823" s="3"/>
      <c r="K823" s="3"/>
    </row>
    <row r="824" spans="1:11" hidden="1" x14ac:dyDescent="0.3">
      <c r="A824" s="3"/>
      <c r="B824" s="3"/>
      <c r="C824" s="3"/>
      <c r="D824" s="3"/>
      <c r="E824" s="3"/>
      <c r="F824" s="3"/>
      <c r="G824" s="3"/>
      <c r="H824" s="3"/>
      <c r="I824" s="3"/>
      <c r="J824" s="3"/>
      <c r="K824" s="3"/>
    </row>
    <row r="825" spans="1:11" hidden="1" x14ac:dyDescent="0.3">
      <c r="A825" s="3"/>
      <c r="B825" s="3"/>
      <c r="C825" s="3"/>
      <c r="D825" s="3"/>
      <c r="E825" s="3"/>
      <c r="F825" s="3"/>
      <c r="G825" s="3"/>
      <c r="H825" s="3"/>
      <c r="I825" s="3"/>
      <c r="J825" s="3"/>
      <c r="K825" s="3"/>
    </row>
    <row r="826" spans="1:11" hidden="1" x14ac:dyDescent="0.3">
      <c r="A826" s="3"/>
      <c r="B826" s="3"/>
      <c r="C826" s="3"/>
      <c r="D826" s="3"/>
      <c r="E826" s="3"/>
      <c r="F826" s="3"/>
      <c r="G826" s="3"/>
      <c r="H826" s="3"/>
      <c r="I826" s="3"/>
      <c r="J826" s="3"/>
      <c r="K826" s="3"/>
    </row>
    <row r="827" spans="1:11" hidden="1" x14ac:dyDescent="0.3">
      <c r="A827" s="3"/>
      <c r="B827" s="3"/>
      <c r="C827" s="3"/>
      <c r="D827" s="3"/>
      <c r="E827" s="3"/>
      <c r="F827" s="3"/>
      <c r="G827" s="3"/>
      <c r="H827" s="3"/>
      <c r="I827" s="3"/>
      <c r="J827" s="3"/>
      <c r="K827" s="3"/>
    </row>
    <row r="828" spans="1:11" hidden="1" x14ac:dyDescent="0.3">
      <c r="A828" s="3"/>
      <c r="B828" s="3"/>
      <c r="C828" s="3"/>
      <c r="D828" s="3"/>
      <c r="E828" s="3"/>
      <c r="F828" s="3"/>
      <c r="G828" s="3"/>
      <c r="H828" s="3"/>
      <c r="I828" s="3"/>
      <c r="J828" s="3"/>
      <c r="K828" s="3"/>
    </row>
    <row r="829" spans="1:11" hidden="1" x14ac:dyDescent="0.3">
      <c r="A829" s="3"/>
      <c r="B829" s="3"/>
      <c r="C829" s="3"/>
      <c r="D829" s="3"/>
      <c r="E829" s="3"/>
      <c r="F829" s="3"/>
      <c r="G829" s="3"/>
      <c r="H829" s="3"/>
      <c r="I829" s="3"/>
      <c r="J829" s="3"/>
      <c r="K829" s="3"/>
    </row>
    <row r="830" spans="1:11" hidden="1" x14ac:dyDescent="0.3">
      <c r="A830" s="3"/>
      <c r="B830" s="3"/>
      <c r="C830" s="3"/>
      <c r="D830" s="3"/>
      <c r="E830" s="3"/>
      <c r="F830" s="3"/>
      <c r="G830" s="3"/>
      <c r="H830" s="3"/>
      <c r="I830" s="3"/>
      <c r="J830" s="3"/>
      <c r="K830" s="3"/>
    </row>
    <row r="831" spans="1:11" hidden="1" x14ac:dyDescent="0.3">
      <c r="A831" s="3"/>
      <c r="B831" s="3"/>
      <c r="C831" s="3"/>
      <c r="D831" s="3"/>
      <c r="E831" s="3"/>
      <c r="F831" s="3"/>
      <c r="G831" s="3"/>
      <c r="H831" s="3"/>
      <c r="I831" s="3"/>
      <c r="J831" s="3"/>
      <c r="K831" s="3"/>
    </row>
    <row r="832" spans="1:11" hidden="1" x14ac:dyDescent="0.3">
      <c r="A832" s="3"/>
      <c r="B832" s="3"/>
      <c r="C832" s="3"/>
      <c r="D832" s="3"/>
      <c r="E832" s="3"/>
      <c r="F832" s="3"/>
      <c r="G832" s="3"/>
      <c r="H832" s="3"/>
      <c r="I832" s="3"/>
      <c r="J832" s="3"/>
      <c r="K832" s="3"/>
    </row>
    <row r="833" spans="1:11" hidden="1" x14ac:dyDescent="0.3">
      <c r="A833" s="3"/>
      <c r="B833" s="3"/>
      <c r="C833" s="3"/>
      <c r="D833" s="3"/>
      <c r="E833" s="3"/>
      <c r="F833" s="3"/>
      <c r="G833" s="3"/>
      <c r="H833" s="3"/>
      <c r="I833" s="3"/>
      <c r="J833" s="3"/>
      <c r="K833" s="3"/>
    </row>
    <row r="834" spans="1:11" hidden="1" x14ac:dyDescent="0.3">
      <c r="A834" s="3"/>
      <c r="B834" s="3"/>
      <c r="C834" s="3"/>
      <c r="D834" s="3"/>
      <c r="E834" s="3"/>
      <c r="F834" s="3"/>
      <c r="G834" s="3"/>
      <c r="H834" s="3"/>
      <c r="I834" s="3"/>
      <c r="J834" s="3"/>
      <c r="K834" s="3"/>
    </row>
    <row r="835" spans="1:11" hidden="1" x14ac:dyDescent="0.3">
      <c r="A835" s="3"/>
      <c r="B835" s="3"/>
      <c r="C835" s="3"/>
      <c r="D835" s="3"/>
      <c r="E835" s="3"/>
      <c r="F835" s="3"/>
      <c r="G835" s="3"/>
      <c r="H835" s="3"/>
      <c r="I835" s="3"/>
      <c r="J835" s="3"/>
      <c r="K835" s="3"/>
    </row>
    <row r="836" spans="1:11" hidden="1" x14ac:dyDescent="0.3">
      <c r="A836" s="3"/>
      <c r="B836" s="3"/>
      <c r="C836" s="3"/>
      <c r="D836" s="3"/>
      <c r="E836" s="3"/>
      <c r="F836" s="3"/>
      <c r="G836" s="3"/>
      <c r="H836" s="3"/>
      <c r="I836" s="3"/>
      <c r="J836" s="3"/>
      <c r="K836" s="3"/>
    </row>
    <row r="837" spans="1:11" hidden="1" x14ac:dyDescent="0.3">
      <c r="A837" s="3"/>
      <c r="B837" s="3"/>
      <c r="C837" s="3"/>
      <c r="D837" s="3"/>
      <c r="E837" s="3"/>
      <c r="F837" s="3"/>
      <c r="G837" s="3"/>
      <c r="H837" s="3"/>
      <c r="I837" s="3"/>
      <c r="J837" s="3"/>
      <c r="K837" s="3"/>
    </row>
    <row r="838" spans="1:11" hidden="1" x14ac:dyDescent="0.3">
      <c r="A838" s="3"/>
      <c r="B838" s="3"/>
      <c r="C838" s="3"/>
      <c r="D838" s="3"/>
      <c r="E838" s="3"/>
      <c r="F838" s="3"/>
      <c r="G838" s="3"/>
      <c r="H838" s="3"/>
      <c r="I838" s="3"/>
      <c r="J838" s="3"/>
      <c r="K838" s="3"/>
    </row>
    <row r="839" spans="1:11" hidden="1" x14ac:dyDescent="0.3">
      <c r="A839" s="3"/>
      <c r="B839" s="3"/>
      <c r="C839" s="3"/>
      <c r="D839" s="3"/>
      <c r="E839" s="3"/>
      <c r="F839" s="3"/>
      <c r="G839" s="3"/>
      <c r="H839" s="3"/>
      <c r="I839" s="3"/>
      <c r="J839" s="3"/>
      <c r="K839" s="3"/>
    </row>
    <row r="840" spans="1:11" hidden="1" x14ac:dyDescent="0.3">
      <c r="A840" s="3"/>
      <c r="B840" s="3"/>
      <c r="C840" s="3"/>
      <c r="D840" s="3"/>
      <c r="E840" s="3"/>
      <c r="F840" s="3"/>
      <c r="G840" s="3"/>
      <c r="H840" s="3"/>
      <c r="I840" s="3"/>
      <c r="J840" s="3"/>
      <c r="K840" s="3"/>
    </row>
    <row r="841" spans="1:11" hidden="1" x14ac:dyDescent="0.3">
      <c r="A841" s="3"/>
      <c r="B841" s="3"/>
      <c r="C841" s="3"/>
      <c r="D841" s="3"/>
      <c r="E841" s="3"/>
      <c r="F841" s="3"/>
      <c r="G841" s="3"/>
      <c r="H841" s="3"/>
      <c r="I841" s="3"/>
      <c r="J841" s="3"/>
      <c r="K841" s="3"/>
    </row>
    <row r="842" spans="1:11" hidden="1" x14ac:dyDescent="0.3">
      <c r="A842" s="3"/>
      <c r="B842" s="3"/>
      <c r="C842" s="3"/>
      <c r="D842" s="3"/>
      <c r="E842" s="3"/>
      <c r="F842" s="3"/>
      <c r="G842" s="3"/>
      <c r="H842" s="3"/>
      <c r="I842" s="3"/>
      <c r="J842" s="3"/>
      <c r="K842" s="3"/>
    </row>
    <row r="843" spans="1:11" hidden="1" x14ac:dyDescent="0.3">
      <c r="A843" s="3"/>
      <c r="B843" s="3"/>
      <c r="C843" s="3"/>
      <c r="D843" s="3"/>
      <c r="E843" s="3"/>
      <c r="F843" s="3"/>
      <c r="G843" s="3"/>
      <c r="H843" s="3"/>
      <c r="I843" s="3"/>
      <c r="J843" s="3"/>
      <c r="K843" s="3"/>
    </row>
    <row r="844" spans="1:11" hidden="1" x14ac:dyDescent="0.3">
      <c r="A844" s="3"/>
      <c r="B844" s="3"/>
      <c r="C844" s="3"/>
      <c r="D844" s="3"/>
      <c r="E844" s="3"/>
      <c r="F844" s="3"/>
      <c r="G844" s="3"/>
      <c r="H844" s="3"/>
      <c r="I844" s="3"/>
      <c r="J844" s="3"/>
      <c r="K844" s="3"/>
    </row>
    <row r="845" spans="1:11" hidden="1" x14ac:dyDescent="0.3">
      <c r="A845" s="3"/>
      <c r="B845" s="3"/>
      <c r="C845" s="3"/>
      <c r="D845" s="3"/>
      <c r="E845" s="3"/>
      <c r="F845" s="3"/>
      <c r="G845" s="3"/>
      <c r="H845" s="3"/>
      <c r="I845" s="3"/>
      <c r="J845" s="3"/>
      <c r="K845" s="3"/>
    </row>
    <row r="846" spans="1:11" hidden="1" x14ac:dyDescent="0.3">
      <c r="A846" s="3"/>
      <c r="B846" s="3"/>
      <c r="C846" s="3"/>
      <c r="D846" s="3"/>
      <c r="E846" s="3"/>
      <c r="F846" s="3"/>
      <c r="G846" s="3"/>
      <c r="H846" s="3"/>
      <c r="I846" s="3"/>
      <c r="J846" s="3"/>
      <c r="K846" s="3"/>
    </row>
    <row r="847" spans="1:11" hidden="1" x14ac:dyDescent="0.3">
      <c r="A847" s="3"/>
      <c r="B847" s="3"/>
      <c r="C847" s="3"/>
      <c r="D847" s="3"/>
      <c r="E847" s="3"/>
      <c r="F847" s="3"/>
      <c r="G847" s="3"/>
      <c r="H847" s="3"/>
      <c r="I847" s="3"/>
      <c r="J847" s="3"/>
      <c r="K847" s="3"/>
    </row>
    <row r="848" spans="1:11" hidden="1" x14ac:dyDescent="0.3">
      <c r="A848" s="3"/>
      <c r="B848" s="3"/>
      <c r="C848" s="3"/>
      <c r="D848" s="3"/>
      <c r="E848" s="3"/>
      <c r="F848" s="3"/>
      <c r="G848" s="3"/>
      <c r="H848" s="3"/>
      <c r="I848" s="3"/>
      <c r="J848" s="3"/>
      <c r="K848" s="3"/>
    </row>
    <row r="849" spans="1:11" hidden="1" x14ac:dyDescent="0.3">
      <c r="A849" s="3"/>
      <c r="B849" s="3"/>
      <c r="C849" s="3"/>
      <c r="D849" s="3"/>
      <c r="E849" s="3"/>
      <c r="F849" s="3"/>
      <c r="G849" s="3"/>
      <c r="H849" s="3"/>
      <c r="I849" s="3"/>
      <c r="J849" s="3"/>
      <c r="K849" s="3"/>
    </row>
    <row r="850" spans="1:11" hidden="1" x14ac:dyDescent="0.3">
      <c r="A850" s="3"/>
      <c r="B850" s="3"/>
      <c r="C850" s="3"/>
      <c r="D850" s="3"/>
      <c r="E850" s="3"/>
      <c r="F850" s="3"/>
      <c r="G850" s="3"/>
      <c r="H850" s="3"/>
      <c r="I850" s="3"/>
      <c r="J850" s="3"/>
      <c r="K850" s="3"/>
    </row>
    <row r="851" spans="1:11" hidden="1" x14ac:dyDescent="0.3">
      <c r="A851" s="3"/>
      <c r="B851" s="3"/>
      <c r="C851" s="3"/>
      <c r="D851" s="3"/>
      <c r="E851" s="3"/>
      <c r="F851" s="3"/>
      <c r="G851" s="3"/>
      <c r="H851" s="3"/>
      <c r="I851" s="3"/>
      <c r="J851" s="3"/>
      <c r="K851" s="3"/>
    </row>
    <row r="852" spans="1:11" hidden="1" x14ac:dyDescent="0.3">
      <c r="A852" s="3"/>
      <c r="B852" s="3"/>
      <c r="C852" s="3"/>
      <c r="D852" s="3"/>
      <c r="E852" s="3"/>
      <c r="F852" s="3"/>
      <c r="G852" s="3"/>
      <c r="H852" s="3"/>
      <c r="I852" s="3"/>
      <c r="J852" s="3"/>
      <c r="K852" s="3"/>
    </row>
    <row r="853" spans="1:11" hidden="1" x14ac:dyDescent="0.3">
      <c r="A853" s="3"/>
      <c r="B853" s="3"/>
      <c r="C853" s="3"/>
      <c r="D853" s="3"/>
      <c r="E853" s="3"/>
      <c r="F853" s="3"/>
      <c r="G853" s="3"/>
      <c r="H853" s="3"/>
      <c r="I853" s="3"/>
      <c r="J853" s="3"/>
      <c r="K853" s="3"/>
    </row>
    <row r="854" spans="1:11" hidden="1" x14ac:dyDescent="0.3">
      <c r="A854" s="3"/>
      <c r="B854" s="3"/>
      <c r="C854" s="3"/>
      <c r="D854" s="3"/>
      <c r="E854" s="3"/>
      <c r="F854" s="3"/>
      <c r="G854" s="3"/>
      <c r="H854" s="3"/>
      <c r="I854" s="3"/>
      <c r="J854" s="3"/>
      <c r="K854" s="3"/>
    </row>
    <row r="855" spans="1:11" hidden="1" x14ac:dyDescent="0.3">
      <c r="A855" s="3"/>
      <c r="B855" s="3"/>
      <c r="C855" s="3"/>
      <c r="D855" s="3"/>
      <c r="E855" s="3"/>
      <c r="F855" s="3"/>
      <c r="G855" s="3"/>
      <c r="H855" s="3"/>
      <c r="I855" s="3"/>
      <c r="J855" s="3"/>
      <c r="K855" s="3"/>
    </row>
    <row r="856" spans="1:11" hidden="1" x14ac:dyDescent="0.3">
      <c r="A856" s="3"/>
      <c r="B856" s="3"/>
      <c r="C856" s="3"/>
      <c r="D856" s="3"/>
      <c r="E856" s="3"/>
      <c r="F856" s="3"/>
      <c r="G856" s="3"/>
      <c r="H856" s="3"/>
      <c r="I856" s="3"/>
      <c r="J856" s="3"/>
      <c r="K856" s="3"/>
    </row>
    <row r="857" spans="1:11" hidden="1" x14ac:dyDescent="0.3">
      <c r="A857" s="3"/>
      <c r="B857" s="3"/>
      <c r="C857" s="3"/>
      <c r="D857" s="3"/>
      <c r="E857" s="3"/>
      <c r="F857" s="3"/>
      <c r="G857" s="3"/>
      <c r="H857" s="3"/>
      <c r="I857" s="3"/>
      <c r="J857" s="3"/>
      <c r="K857" s="3"/>
    </row>
    <row r="858" spans="1:11" hidden="1" x14ac:dyDescent="0.3">
      <c r="A858" s="3"/>
      <c r="B858" s="3"/>
      <c r="C858" s="3"/>
      <c r="D858" s="3"/>
      <c r="E858" s="3"/>
      <c r="F858" s="3"/>
      <c r="G858" s="3"/>
      <c r="H858" s="3"/>
      <c r="I858" s="3"/>
      <c r="J858" s="3"/>
      <c r="K858" s="3"/>
    </row>
    <row r="859" spans="1:11" hidden="1" x14ac:dyDescent="0.3">
      <c r="A859" s="3"/>
      <c r="B859" s="3"/>
      <c r="C859" s="3"/>
      <c r="D859" s="3"/>
      <c r="E859" s="3"/>
      <c r="F859" s="3"/>
      <c r="G859" s="3"/>
      <c r="H859" s="3"/>
      <c r="I859" s="3"/>
      <c r="J859" s="3"/>
      <c r="K859" s="3"/>
    </row>
    <row r="860" spans="1:11" hidden="1" x14ac:dyDescent="0.3">
      <c r="A860" s="3"/>
      <c r="B860" s="3"/>
      <c r="C860" s="3"/>
      <c r="D860" s="3"/>
      <c r="E860" s="3"/>
      <c r="F860" s="3"/>
      <c r="G860" s="3"/>
      <c r="H860" s="3"/>
      <c r="I860" s="3"/>
      <c r="J860" s="3"/>
      <c r="K860" s="3"/>
    </row>
    <row r="861" spans="1:11" hidden="1" x14ac:dyDescent="0.3">
      <c r="A861" s="3"/>
      <c r="B861" s="3"/>
      <c r="C861" s="3"/>
      <c r="D861" s="3"/>
      <c r="E861" s="3"/>
      <c r="F861" s="3"/>
      <c r="G861" s="3"/>
      <c r="H861" s="3"/>
      <c r="I861" s="3"/>
      <c r="J861" s="3"/>
      <c r="K861" s="3"/>
    </row>
    <row r="862" spans="1:11" hidden="1" x14ac:dyDescent="0.3">
      <c r="A862" s="3"/>
      <c r="B862" s="3"/>
      <c r="C862" s="3"/>
      <c r="D862" s="3"/>
      <c r="E862" s="3"/>
      <c r="F862" s="3"/>
      <c r="G862" s="3"/>
      <c r="H862" s="3"/>
      <c r="I862" s="3"/>
      <c r="J862" s="3"/>
      <c r="K862" s="3"/>
    </row>
    <row r="863" spans="1:11" hidden="1" x14ac:dyDescent="0.3">
      <c r="A863" s="3"/>
      <c r="B863" s="3"/>
      <c r="C863" s="3"/>
      <c r="D863" s="3"/>
      <c r="E863" s="3"/>
      <c r="F863" s="3"/>
      <c r="G863" s="3"/>
      <c r="H863" s="3"/>
      <c r="I863" s="3"/>
      <c r="J863" s="3"/>
      <c r="K863" s="3"/>
    </row>
    <row r="864" spans="1:11" hidden="1" x14ac:dyDescent="0.3">
      <c r="A864" s="3"/>
      <c r="B864" s="3"/>
      <c r="C864" s="3"/>
      <c r="D864" s="3"/>
      <c r="E864" s="3"/>
      <c r="F864" s="3"/>
      <c r="G864" s="3"/>
      <c r="H864" s="3"/>
      <c r="I864" s="3"/>
      <c r="J864" s="3"/>
      <c r="K864" s="3"/>
    </row>
    <row r="865" spans="1:11" hidden="1" x14ac:dyDescent="0.3">
      <c r="A865" s="3"/>
      <c r="B865" s="3"/>
      <c r="C865" s="3"/>
      <c r="D865" s="3"/>
      <c r="E865" s="3"/>
      <c r="F865" s="3"/>
      <c r="G865" s="3"/>
      <c r="H865" s="3"/>
      <c r="I865" s="3"/>
      <c r="J865" s="3"/>
      <c r="K865" s="3"/>
    </row>
    <row r="866" spans="1:11" hidden="1" x14ac:dyDescent="0.3">
      <c r="A866" s="3"/>
      <c r="B866" s="3"/>
      <c r="C866" s="3"/>
      <c r="D866" s="3"/>
      <c r="E866" s="3"/>
      <c r="F866" s="3"/>
      <c r="G866" s="3"/>
      <c r="H866" s="3"/>
      <c r="I866" s="3"/>
      <c r="J866" s="3"/>
      <c r="K866" s="3"/>
    </row>
    <row r="867" spans="1:11" hidden="1" x14ac:dyDescent="0.3">
      <c r="A867" s="3"/>
      <c r="B867" s="3"/>
      <c r="C867" s="3"/>
      <c r="D867" s="3"/>
      <c r="E867" s="3"/>
      <c r="F867" s="3"/>
      <c r="G867" s="3"/>
      <c r="H867" s="3"/>
      <c r="I867" s="3"/>
      <c r="J867" s="3"/>
      <c r="K867" s="3"/>
    </row>
    <row r="868" spans="1:11" hidden="1" x14ac:dyDescent="0.3">
      <c r="A868" s="3"/>
      <c r="B868" s="3"/>
      <c r="C868" s="3"/>
      <c r="D868" s="3"/>
      <c r="E868" s="3"/>
      <c r="F868" s="3"/>
      <c r="G868" s="3"/>
      <c r="H868" s="3"/>
      <c r="I868" s="3"/>
      <c r="J868" s="3"/>
      <c r="K868" s="3"/>
    </row>
    <row r="869" spans="1:11" hidden="1" x14ac:dyDescent="0.3">
      <c r="A869" s="3"/>
      <c r="B869" s="3"/>
      <c r="C869" s="3"/>
      <c r="D869" s="3"/>
      <c r="E869" s="3"/>
      <c r="F869" s="3"/>
      <c r="G869" s="3"/>
      <c r="H869" s="3"/>
      <c r="I869" s="3"/>
      <c r="J869" s="3"/>
      <c r="K869" s="3"/>
    </row>
    <row r="870" spans="1:11" hidden="1" x14ac:dyDescent="0.3">
      <c r="A870" s="3"/>
      <c r="B870" s="3"/>
      <c r="C870" s="3"/>
      <c r="D870" s="3"/>
      <c r="E870" s="3"/>
      <c r="F870" s="3"/>
      <c r="G870" s="3"/>
      <c r="H870" s="3"/>
      <c r="I870" s="3"/>
      <c r="J870" s="3"/>
      <c r="K870" s="3"/>
    </row>
    <row r="871" spans="1:11" hidden="1" x14ac:dyDescent="0.3">
      <c r="A871" s="3"/>
      <c r="B871" s="3"/>
      <c r="C871" s="3"/>
      <c r="D871" s="3"/>
      <c r="E871" s="3"/>
      <c r="F871" s="3"/>
      <c r="G871" s="3"/>
      <c r="H871" s="3"/>
      <c r="I871" s="3"/>
      <c r="J871" s="3"/>
      <c r="K871" s="3"/>
    </row>
    <row r="872" spans="1:11" hidden="1" x14ac:dyDescent="0.3">
      <c r="A872" s="3"/>
      <c r="B872" s="3"/>
      <c r="C872" s="3"/>
      <c r="D872" s="3"/>
      <c r="E872" s="3"/>
      <c r="F872" s="3"/>
      <c r="G872" s="3"/>
      <c r="H872" s="3"/>
      <c r="I872" s="3"/>
      <c r="J872" s="3"/>
      <c r="K872" s="3"/>
    </row>
    <row r="873" spans="1:11" hidden="1" x14ac:dyDescent="0.3">
      <c r="A873" s="3"/>
      <c r="B873" s="3"/>
      <c r="C873" s="3"/>
      <c r="D873" s="3"/>
      <c r="E873" s="3"/>
      <c r="F873" s="3"/>
      <c r="G873" s="3"/>
      <c r="H873" s="3"/>
      <c r="I873" s="3"/>
      <c r="J873" s="3"/>
      <c r="K873" s="3"/>
    </row>
    <row r="874" spans="1:11" hidden="1" x14ac:dyDescent="0.3">
      <c r="A874" s="3"/>
      <c r="B874" s="3"/>
      <c r="C874" s="3"/>
      <c r="D874" s="3"/>
      <c r="E874" s="3"/>
      <c r="F874" s="3"/>
      <c r="G874" s="3"/>
      <c r="H874" s="3"/>
      <c r="I874" s="3"/>
      <c r="J874" s="3"/>
      <c r="K874" s="3"/>
    </row>
    <row r="875" spans="1:11" hidden="1" x14ac:dyDescent="0.3">
      <c r="A875" s="3"/>
      <c r="B875" s="3"/>
      <c r="C875" s="3"/>
      <c r="D875" s="3"/>
      <c r="E875" s="3"/>
      <c r="F875" s="3"/>
      <c r="G875" s="3"/>
      <c r="H875" s="3"/>
      <c r="I875" s="3"/>
      <c r="J875" s="3"/>
      <c r="K875" s="3"/>
    </row>
    <row r="876" spans="1:11" hidden="1" x14ac:dyDescent="0.3">
      <c r="A876" s="3"/>
      <c r="B876" s="3"/>
      <c r="C876" s="3"/>
      <c r="D876" s="3"/>
      <c r="E876" s="3"/>
      <c r="F876" s="3"/>
      <c r="G876" s="3"/>
      <c r="H876" s="3"/>
      <c r="I876" s="3"/>
      <c r="J876" s="3"/>
      <c r="K876" s="3"/>
    </row>
    <row r="877" spans="1:11" hidden="1" x14ac:dyDescent="0.3">
      <c r="A877" s="3"/>
      <c r="B877" s="3"/>
      <c r="C877" s="3"/>
      <c r="D877" s="3"/>
      <c r="E877" s="3"/>
      <c r="F877" s="3"/>
      <c r="G877" s="3"/>
      <c r="H877" s="3"/>
      <c r="I877" s="3"/>
      <c r="J877" s="3"/>
      <c r="K877" s="3"/>
    </row>
    <row r="878" spans="1:11" hidden="1" x14ac:dyDescent="0.3">
      <c r="A878" s="3"/>
      <c r="B878" s="3"/>
      <c r="C878" s="3"/>
      <c r="D878" s="3"/>
      <c r="E878" s="3"/>
      <c r="F878" s="3"/>
      <c r="G878" s="3"/>
      <c r="H878" s="3"/>
      <c r="I878" s="3"/>
      <c r="J878" s="3"/>
      <c r="K878" s="3"/>
    </row>
    <row r="879" spans="1:11" hidden="1" x14ac:dyDescent="0.3">
      <c r="A879" s="3"/>
      <c r="B879" s="3"/>
      <c r="C879" s="3"/>
      <c r="D879" s="3"/>
      <c r="E879" s="3"/>
      <c r="F879" s="3"/>
      <c r="G879" s="3"/>
      <c r="H879" s="3"/>
      <c r="I879" s="3"/>
      <c r="J879" s="3"/>
      <c r="K879" s="3"/>
    </row>
    <row r="880" spans="1:11" hidden="1" x14ac:dyDescent="0.3">
      <c r="A880" s="3"/>
      <c r="B880" s="3"/>
      <c r="C880" s="3"/>
      <c r="D880" s="3"/>
      <c r="E880" s="3"/>
      <c r="F880" s="3"/>
      <c r="G880" s="3"/>
      <c r="H880" s="3"/>
      <c r="I880" s="3"/>
      <c r="J880" s="3"/>
      <c r="K880" s="3"/>
    </row>
    <row r="881" spans="1:11" hidden="1" x14ac:dyDescent="0.3">
      <c r="A881" s="3"/>
      <c r="B881" s="3"/>
      <c r="C881" s="3"/>
      <c r="D881" s="3"/>
      <c r="E881" s="3"/>
      <c r="F881" s="3"/>
      <c r="G881" s="3"/>
      <c r="H881" s="3"/>
      <c r="I881" s="3"/>
      <c r="J881" s="3"/>
      <c r="K881" s="3"/>
    </row>
    <row r="882" spans="1:11" hidden="1" x14ac:dyDescent="0.3">
      <c r="A882" s="3"/>
      <c r="B882" s="3"/>
      <c r="C882" s="3"/>
      <c r="D882" s="3"/>
      <c r="E882" s="3"/>
      <c r="F882" s="3"/>
      <c r="G882" s="3"/>
      <c r="H882" s="3"/>
      <c r="I882" s="3"/>
      <c r="J882" s="3"/>
      <c r="K882" s="3"/>
    </row>
    <row r="883" spans="1:11" hidden="1" x14ac:dyDescent="0.3">
      <c r="A883" s="3"/>
      <c r="B883" s="3"/>
      <c r="C883" s="3"/>
      <c r="D883" s="3"/>
      <c r="E883" s="3"/>
      <c r="F883" s="3"/>
      <c r="G883" s="3"/>
      <c r="H883" s="3"/>
      <c r="I883" s="3"/>
      <c r="J883" s="3"/>
      <c r="K883" s="3"/>
    </row>
    <row r="884" spans="1:11" hidden="1" x14ac:dyDescent="0.3">
      <c r="A884" s="3"/>
      <c r="B884" s="3"/>
      <c r="C884" s="3"/>
      <c r="D884" s="3"/>
      <c r="E884" s="3"/>
      <c r="F884" s="3"/>
      <c r="G884" s="3"/>
      <c r="H884" s="3"/>
      <c r="I884" s="3"/>
      <c r="J884" s="3"/>
      <c r="K884" s="3"/>
    </row>
    <row r="885" spans="1:11" hidden="1" x14ac:dyDescent="0.3">
      <c r="A885" s="3"/>
      <c r="B885" s="3"/>
      <c r="C885" s="3"/>
      <c r="D885" s="3"/>
      <c r="E885" s="3"/>
      <c r="F885" s="3"/>
      <c r="G885" s="3"/>
      <c r="H885" s="3"/>
      <c r="I885" s="3"/>
      <c r="J885" s="3"/>
      <c r="K885" s="3"/>
    </row>
    <row r="886" spans="1:11" hidden="1" x14ac:dyDescent="0.3">
      <c r="A886" s="3"/>
      <c r="B886" s="3"/>
      <c r="C886" s="3"/>
      <c r="D886" s="3"/>
      <c r="E886" s="3"/>
      <c r="F886" s="3"/>
      <c r="G886" s="3"/>
      <c r="H886" s="3"/>
      <c r="I886" s="3"/>
      <c r="J886" s="3"/>
      <c r="K886" s="3"/>
    </row>
    <row r="887" spans="1:11" hidden="1" x14ac:dyDescent="0.3">
      <c r="A887" s="3"/>
      <c r="B887" s="3"/>
      <c r="C887" s="3"/>
      <c r="D887" s="3"/>
      <c r="E887" s="3"/>
      <c r="F887" s="3"/>
      <c r="G887" s="3"/>
      <c r="H887" s="3"/>
      <c r="I887" s="3"/>
      <c r="J887" s="3"/>
      <c r="K887" s="3"/>
    </row>
    <row r="888" spans="1:11" hidden="1" x14ac:dyDescent="0.3">
      <c r="A888" s="3"/>
      <c r="B888" s="3"/>
      <c r="C888" s="3"/>
      <c r="D888" s="3"/>
      <c r="E888" s="3"/>
      <c r="F888" s="3"/>
      <c r="G888" s="3"/>
      <c r="H888" s="3"/>
      <c r="I888" s="3"/>
      <c r="J888" s="3"/>
      <c r="K888" s="3"/>
    </row>
    <row r="889" spans="1:11" hidden="1" x14ac:dyDescent="0.3">
      <c r="A889" s="3"/>
      <c r="B889" s="3"/>
      <c r="C889" s="3"/>
      <c r="D889" s="3"/>
      <c r="E889" s="3"/>
      <c r="F889" s="3"/>
      <c r="G889" s="3"/>
      <c r="H889" s="3"/>
      <c r="I889" s="3"/>
      <c r="J889" s="3"/>
      <c r="K889" s="3"/>
    </row>
    <row r="890" spans="1:11" hidden="1" x14ac:dyDescent="0.3">
      <c r="A890" s="3"/>
      <c r="B890" s="3"/>
      <c r="C890" s="3"/>
      <c r="D890" s="3"/>
      <c r="E890" s="3"/>
      <c r="F890" s="3"/>
      <c r="G890" s="3"/>
      <c r="H890" s="3"/>
      <c r="I890" s="3"/>
      <c r="J890" s="3"/>
      <c r="K890" s="3"/>
    </row>
    <row r="891" spans="1:11" hidden="1" x14ac:dyDescent="0.3">
      <c r="A891" s="3"/>
      <c r="B891" s="3"/>
      <c r="C891" s="3"/>
      <c r="D891" s="3"/>
      <c r="E891" s="3"/>
      <c r="F891" s="3"/>
      <c r="G891" s="3"/>
      <c r="H891" s="3"/>
      <c r="I891" s="3"/>
      <c r="J891" s="3"/>
      <c r="K891" s="3"/>
    </row>
    <row r="892" spans="1:11" hidden="1" x14ac:dyDescent="0.3">
      <c r="A892" s="3"/>
      <c r="B892" s="3"/>
      <c r="C892" s="3"/>
      <c r="D892" s="3"/>
      <c r="E892" s="3"/>
      <c r="F892" s="3"/>
      <c r="G892" s="3"/>
      <c r="H892" s="3"/>
      <c r="I892" s="3"/>
      <c r="J892" s="3"/>
      <c r="K892" s="3"/>
    </row>
    <row r="893" spans="1:11" hidden="1" x14ac:dyDescent="0.3">
      <c r="A893" s="3"/>
      <c r="B893" s="3"/>
      <c r="C893" s="3"/>
      <c r="D893" s="3"/>
      <c r="E893" s="3"/>
      <c r="F893" s="3"/>
      <c r="G893" s="3"/>
      <c r="H893" s="3"/>
      <c r="I893" s="3"/>
      <c r="J893" s="3"/>
      <c r="K893" s="3"/>
    </row>
    <row r="894" spans="1:11" hidden="1" x14ac:dyDescent="0.3">
      <c r="A894" s="3"/>
      <c r="B894" s="3"/>
      <c r="C894" s="3"/>
      <c r="D894" s="3"/>
      <c r="E894" s="3"/>
      <c r="F894" s="3"/>
      <c r="G894" s="3"/>
      <c r="H894" s="3"/>
      <c r="I894" s="3"/>
      <c r="J894" s="3"/>
      <c r="K894" s="3"/>
    </row>
    <row r="895" spans="1:11" hidden="1" x14ac:dyDescent="0.3">
      <c r="A895" s="3"/>
      <c r="B895" s="3"/>
      <c r="C895" s="3"/>
      <c r="D895" s="3"/>
      <c r="E895" s="3"/>
      <c r="F895" s="3"/>
      <c r="G895" s="3"/>
      <c r="H895" s="3"/>
      <c r="I895" s="3"/>
      <c r="J895" s="3"/>
      <c r="K895" s="3"/>
    </row>
    <row r="896" spans="1:11" hidden="1" x14ac:dyDescent="0.3">
      <c r="A896" s="3"/>
      <c r="B896" s="3"/>
      <c r="C896" s="3"/>
      <c r="D896" s="3"/>
      <c r="E896" s="3"/>
      <c r="F896" s="3"/>
      <c r="G896" s="3"/>
      <c r="H896" s="3"/>
      <c r="I896" s="3"/>
      <c r="J896" s="3"/>
      <c r="K896" s="3"/>
    </row>
    <row r="897" spans="1:11" hidden="1" x14ac:dyDescent="0.3">
      <c r="A897" s="3"/>
      <c r="B897" s="3"/>
      <c r="C897" s="3"/>
      <c r="D897" s="3"/>
      <c r="E897" s="3"/>
      <c r="F897" s="3"/>
      <c r="G897" s="3"/>
      <c r="H897" s="3"/>
      <c r="I897" s="3"/>
      <c r="J897" s="3"/>
      <c r="K897" s="3"/>
    </row>
    <row r="898" spans="1:11" hidden="1" x14ac:dyDescent="0.3">
      <c r="A898" s="3"/>
      <c r="B898" s="3"/>
      <c r="C898" s="3"/>
      <c r="D898" s="3"/>
      <c r="E898" s="3"/>
      <c r="F898" s="3"/>
      <c r="G898" s="3"/>
      <c r="H898" s="3"/>
      <c r="I898" s="3"/>
      <c r="J898" s="3"/>
      <c r="K898" s="3"/>
    </row>
    <row r="899" spans="1:11" hidden="1" x14ac:dyDescent="0.3">
      <c r="A899" s="3"/>
      <c r="B899" s="3"/>
      <c r="C899" s="3"/>
      <c r="D899" s="3"/>
      <c r="E899" s="3"/>
      <c r="F899" s="3"/>
      <c r="G899" s="3"/>
      <c r="H899" s="3"/>
      <c r="I899" s="3"/>
      <c r="J899" s="3"/>
      <c r="K899" s="3"/>
    </row>
    <row r="900" spans="1:11" hidden="1" x14ac:dyDescent="0.3">
      <c r="A900" s="3"/>
      <c r="B900" s="3"/>
      <c r="C900" s="3"/>
      <c r="D900" s="3"/>
      <c r="E900" s="3"/>
      <c r="F900" s="3"/>
      <c r="G900" s="3"/>
      <c r="H900" s="3"/>
      <c r="I900" s="3"/>
      <c r="J900" s="3"/>
      <c r="K900" s="3"/>
    </row>
    <row r="901" spans="1:11" hidden="1" x14ac:dyDescent="0.3">
      <c r="A901" s="3"/>
      <c r="B901" s="3"/>
      <c r="C901" s="3"/>
      <c r="D901" s="3"/>
      <c r="E901" s="3"/>
      <c r="F901" s="3"/>
      <c r="G901" s="3"/>
      <c r="H901" s="3"/>
      <c r="I901" s="3"/>
      <c r="J901" s="3"/>
      <c r="K901" s="3"/>
    </row>
    <row r="902" spans="1:11" hidden="1" x14ac:dyDescent="0.3">
      <c r="A902" s="3"/>
      <c r="B902" s="3"/>
      <c r="C902" s="3"/>
      <c r="D902" s="3"/>
      <c r="E902" s="3"/>
      <c r="F902" s="3"/>
      <c r="G902" s="3"/>
      <c r="H902" s="3"/>
      <c r="I902" s="3"/>
      <c r="J902" s="3"/>
      <c r="K902" s="3"/>
    </row>
    <row r="903" spans="1:11" hidden="1" x14ac:dyDescent="0.3">
      <c r="A903" s="3"/>
      <c r="B903" s="3"/>
      <c r="C903" s="3"/>
      <c r="D903" s="3"/>
      <c r="E903" s="3"/>
      <c r="F903" s="3"/>
      <c r="G903" s="3"/>
      <c r="H903" s="3"/>
      <c r="I903" s="3"/>
      <c r="J903" s="3"/>
      <c r="K903" s="3"/>
    </row>
    <row r="904" spans="1:11" hidden="1" x14ac:dyDescent="0.3">
      <c r="A904" s="3"/>
      <c r="B904" s="3"/>
      <c r="C904" s="3"/>
      <c r="D904" s="3"/>
      <c r="E904" s="3"/>
      <c r="F904" s="3"/>
      <c r="G904" s="3"/>
      <c r="H904" s="3"/>
      <c r="I904" s="3"/>
      <c r="J904" s="3"/>
      <c r="K904" s="3"/>
    </row>
    <row r="905" spans="1:11" hidden="1" x14ac:dyDescent="0.3">
      <c r="A905" s="3"/>
      <c r="B905" s="3"/>
      <c r="C905" s="3"/>
      <c r="D905" s="3"/>
      <c r="E905" s="3"/>
      <c r="F905" s="3"/>
      <c r="G905" s="3"/>
      <c r="H905" s="3"/>
      <c r="I905" s="3"/>
      <c r="J905" s="3"/>
      <c r="K905" s="3"/>
    </row>
    <row r="906" spans="1:11" hidden="1" x14ac:dyDescent="0.3">
      <c r="A906" s="3"/>
      <c r="B906" s="3"/>
      <c r="C906" s="3"/>
      <c r="D906" s="3"/>
      <c r="E906" s="3"/>
      <c r="F906" s="3"/>
      <c r="G906" s="3"/>
      <c r="H906" s="3"/>
      <c r="I906" s="3"/>
      <c r="J906" s="3"/>
      <c r="K906" s="3"/>
    </row>
    <row r="907" spans="1:11" hidden="1" x14ac:dyDescent="0.3">
      <c r="A907" s="3"/>
      <c r="B907" s="3"/>
      <c r="C907" s="3"/>
      <c r="D907" s="3"/>
      <c r="E907" s="3"/>
      <c r="F907" s="3"/>
      <c r="G907" s="3"/>
      <c r="H907" s="3"/>
      <c r="I907" s="3"/>
      <c r="J907" s="3"/>
      <c r="K907" s="3"/>
    </row>
    <row r="908" spans="1:11" hidden="1" x14ac:dyDescent="0.3">
      <c r="A908" s="3"/>
      <c r="B908" s="3"/>
      <c r="C908" s="3"/>
      <c r="D908" s="3"/>
      <c r="E908" s="3"/>
      <c r="F908" s="3"/>
      <c r="G908" s="3"/>
      <c r="H908" s="3"/>
      <c r="I908" s="3"/>
      <c r="J908" s="3"/>
      <c r="K908" s="3"/>
    </row>
    <row r="909" spans="1:11" hidden="1" x14ac:dyDescent="0.3">
      <c r="A909" s="3"/>
      <c r="B909" s="3"/>
      <c r="C909" s="3"/>
      <c r="D909" s="3"/>
      <c r="E909" s="3"/>
      <c r="F909" s="3"/>
      <c r="G909" s="3"/>
      <c r="H909" s="3"/>
      <c r="I909" s="3"/>
      <c r="J909" s="3"/>
      <c r="K909" s="3"/>
    </row>
    <row r="910" spans="1:11" hidden="1" x14ac:dyDescent="0.3">
      <c r="A910" s="3"/>
      <c r="B910" s="3"/>
      <c r="C910" s="3"/>
      <c r="D910" s="3"/>
      <c r="E910" s="3"/>
      <c r="F910" s="3"/>
      <c r="G910" s="3"/>
      <c r="H910" s="3"/>
      <c r="I910" s="3"/>
      <c r="J910" s="3"/>
      <c r="K910" s="3"/>
    </row>
    <row r="911" spans="1:11" hidden="1" x14ac:dyDescent="0.3">
      <c r="A911" s="3"/>
      <c r="B911" s="3"/>
      <c r="C911" s="3"/>
      <c r="D911" s="3"/>
      <c r="E911" s="3"/>
      <c r="F911" s="3"/>
      <c r="G911" s="3"/>
      <c r="H911" s="3"/>
      <c r="I911" s="3"/>
      <c r="J911" s="3"/>
      <c r="K911" s="3"/>
    </row>
    <row r="912" spans="1:11" hidden="1" x14ac:dyDescent="0.3">
      <c r="A912" s="3"/>
      <c r="B912" s="3"/>
      <c r="C912" s="3"/>
      <c r="D912" s="3"/>
      <c r="E912" s="3"/>
      <c r="F912" s="3"/>
      <c r="G912" s="3"/>
      <c r="H912" s="3"/>
      <c r="I912" s="3"/>
      <c r="J912" s="3"/>
      <c r="K912" s="3"/>
    </row>
    <row r="913" spans="1:11" hidden="1" x14ac:dyDescent="0.3">
      <c r="A913" s="3"/>
      <c r="B913" s="3"/>
      <c r="C913" s="3"/>
      <c r="D913" s="3"/>
      <c r="E913" s="3"/>
      <c r="F913" s="3"/>
      <c r="G913" s="3"/>
      <c r="H913" s="3"/>
      <c r="I913" s="3"/>
      <c r="J913" s="3"/>
      <c r="K913" s="3"/>
    </row>
    <row r="914" spans="1:11" hidden="1" x14ac:dyDescent="0.3">
      <c r="A914" s="3"/>
      <c r="B914" s="3"/>
      <c r="C914" s="3"/>
      <c r="D914" s="3"/>
      <c r="E914" s="3"/>
      <c r="F914" s="3"/>
      <c r="G914" s="3"/>
      <c r="H914" s="3"/>
      <c r="I914" s="3"/>
      <c r="J914" s="3"/>
      <c r="K914" s="3"/>
    </row>
    <row r="915" spans="1:11" hidden="1" x14ac:dyDescent="0.3">
      <c r="A915" s="3"/>
      <c r="B915" s="3"/>
      <c r="C915" s="3"/>
      <c r="D915" s="3"/>
      <c r="E915" s="3"/>
      <c r="F915" s="3"/>
      <c r="G915" s="3"/>
      <c r="H915" s="3"/>
      <c r="I915" s="3"/>
      <c r="J915" s="3"/>
      <c r="K915" s="3"/>
    </row>
    <row r="916" spans="1:11" hidden="1" x14ac:dyDescent="0.3">
      <c r="A916" s="3"/>
      <c r="B916" s="3"/>
      <c r="C916" s="3"/>
      <c r="D916" s="3"/>
      <c r="E916" s="3"/>
      <c r="F916" s="3"/>
      <c r="G916" s="3"/>
      <c r="H916" s="3"/>
      <c r="I916" s="3"/>
      <c r="J916" s="3"/>
      <c r="K916" s="3"/>
    </row>
    <row r="917" spans="1:11" hidden="1" x14ac:dyDescent="0.3">
      <c r="A917" s="3"/>
      <c r="B917" s="3"/>
      <c r="C917" s="3"/>
      <c r="D917" s="3"/>
      <c r="E917" s="3"/>
      <c r="F917" s="3"/>
      <c r="G917" s="3"/>
      <c r="H917" s="3"/>
      <c r="I917" s="3"/>
      <c r="J917" s="3"/>
      <c r="K917" s="3"/>
    </row>
    <row r="918" spans="1:11" hidden="1" x14ac:dyDescent="0.3">
      <c r="A918" s="3"/>
      <c r="B918" s="3"/>
      <c r="C918" s="3"/>
      <c r="D918" s="3"/>
      <c r="E918" s="3"/>
      <c r="F918" s="3"/>
      <c r="G918" s="3"/>
      <c r="H918" s="3"/>
      <c r="I918" s="3"/>
      <c r="J918" s="3"/>
      <c r="K918" s="3"/>
    </row>
    <row r="919" spans="1:11" hidden="1" x14ac:dyDescent="0.3">
      <c r="A919" s="3"/>
      <c r="B919" s="3"/>
      <c r="C919" s="3"/>
      <c r="D919" s="3"/>
      <c r="E919" s="3"/>
      <c r="F919" s="3"/>
      <c r="G919" s="3"/>
      <c r="H919" s="3"/>
      <c r="I919" s="3"/>
      <c r="J919" s="3"/>
      <c r="K919" s="3"/>
    </row>
    <row r="920" spans="1:11" hidden="1" x14ac:dyDescent="0.3">
      <c r="A920" s="3"/>
      <c r="B920" s="3"/>
      <c r="C920" s="3"/>
      <c r="D920" s="3"/>
      <c r="E920" s="3"/>
      <c r="F920" s="3"/>
      <c r="G920" s="3"/>
      <c r="H920" s="3"/>
      <c r="I920" s="3"/>
      <c r="J920" s="3"/>
      <c r="K920" s="3"/>
    </row>
    <row r="921" spans="1:11" hidden="1" x14ac:dyDescent="0.3">
      <c r="A921" s="3"/>
      <c r="B921" s="3"/>
      <c r="C921" s="3"/>
      <c r="D921" s="3"/>
      <c r="E921" s="3"/>
      <c r="F921" s="3"/>
      <c r="G921" s="3"/>
      <c r="H921" s="3"/>
      <c r="I921" s="3"/>
      <c r="J921" s="3"/>
      <c r="K921" s="3"/>
    </row>
    <row r="922" spans="1:11" hidden="1" x14ac:dyDescent="0.3">
      <c r="A922" s="3"/>
      <c r="B922" s="3"/>
      <c r="C922" s="3"/>
      <c r="D922" s="3"/>
      <c r="E922" s="3"/>
      <c r="F922" s="3"/>
      <c r="G922" s="3"/>
      <c r="H922" s="3"/>
      <c r="I922" s="3"/>
      <c r="J922" s="3"/>
      <c r="K922" s="3"/>
    </row>
    <row r="923" spans="1:11" hidden="1" x14ac:dyDescent="0.3">
      <c r="A923" s="3"/>
      <c r="B923" s="3"/>
      <c r="C923" s="3"/>
      <c r="D923" s="3"/>
      <c r="E923" s="3"/>
      <c r="F923" s="3"/>
      <c r="G923" s="3"/>
      <c r="H923" s="3"/>
      <c r="I923" s="3"/>
      <c r="J923" s="3"/>
      <c r="K923" s="3"/>
    </row>
    <row r="924" spans="1:11" hidden="1" x14ac:dyDescent="0.3">
      <c r="A924" s="3"/>
      <c r="B924" s="3"/>
      <c r="C924" s="3"/>
      <c r="D924" s="3"/>
      <c r="E924" s="3"/>
      <c r="F924" s="3"/>
      <c r="G924" s="3"/>
      <c r="H924" s="3"/>
      <c r="I924" s="3"/>
      <c r="J924" s="3"/>
      <c r="K924" s="3"/>
    </row>
    <row r="925" spans="1:11" hidden="1" x14ac:dyDescent="0.3">
      <c r="A925" s="3"/>
      <c r="B925" s="3"/>
      <c r="C925" s="3"/>
      <c r="D925" s="3"/>
      <c r="E925" s="3"/>
      <c r="F925" s="3"/>
      <c r="G925" s="3"/>
      <c r="H925" s="3"/>
      <c r="I925" s="3"/>
      <c r="J925" s="3"/>
      <c r="K925" s="3"/>
    </row>
    <row r="926" spans="1:11" hidden="1" x14ac:dyDescent="0.3">
      <c r="A926" s="3"/>
      <c r="B926" s="3"/>
      <c r="C926" s="3"/>
      <c r="D926" s="3"/>
      <c r="E926" s="3"/>
      <c r="F926" s="3"/>
      <c r="G926" s="3"/>
      <c r="H926" s="3"/>
      <c r="I926" s="3"/>
      <c r="J926" s="3"/>
      <c r="K926" s="3"/>
    </row>
    <row r="927" spans="1:11" hidden="1" x14ac:dyDescent="0.3">
      <c r="A927" s="3"/>
      <c r="B927" s="3"/>
      <c r="C927" s="3"/>
      <c r="D927" s="3"/>
      <c r="E927" s="3"/>
      <c r="F927" s="3"/>
      <c r="G927" s="3"/>
      <c r="H927" s="3"/>
      <c r="I927" s="3"/>
      <c r="J927" s="3"/>
      <c r="K927" s="3"/>
    </row>
    <row r="928" spans="1:11" hidden="1" x14ac:dyDescent="0.3">
      <c r="A928" s="3"/>
      <c r="B928" s="3"/>
      <c r="C928" s="3"/>
      <c r="D928" s="3"/>
      <c r="E928" s="3"/>
      <c r="F928" s="3"/>
      <c r="G928" s="3"/>
      <c r="H928" s="3"/>
      <c r="I928" s="3"/>
      <c r="J928" s="3"/>
      <c r="K928" s="3"/>
    </row>
    <row r="929" spans="1:11" hidden="1" x14ac:dyDescent="0.3">
      <c r="A929" s="3"/>
      <c r="B929" s="3"/>
      <c r="C929" s="3"/>
      <c r="D929" s="3"/>
      <c r="E929" s="3"/>
      <c r="F929" s="3"/>
      <c r="G929" s="3"/>
      <c r="H929" s="3"/>
      <c r="I929" s="3"/>
      <c r="J929" s="3"/>
      <c r="K929" s="3"/>
    </row>
    <row r="930" spans="1:11" hidden="1" x14ac:dyDescent="0.3">
      <c r="A930" s="3"/>
      <c r="B930" s="3"/>
      <c r="C930" s="3"/>
      <c r="D930" s="3"/>
      <c r="E930" s="3"/>
      <c r="F930" s="3"/>
      <c r="G930" s="3"/>
      <c r="H930" s="3"/>
      <c r="I930" s="3"/>
      <c r="J930" s="3"/>
      <c r="K930" s="3"/>
    </row>
    <row r="931" spans="1:11" hidden="1" x14ac:dyDescent="0.3">
      <c r="A931" s="3"/>
      <c r="B931" s="3"/>
      <c r="C931" s="3"/>
      <c r="D931" s="3"/>
      <c r="E931" s="3"/>
      <c r="F931" s="3"/>
      <c r="G931" s="3"/>
      <c r="H931" s="3"/>
      <c r="I931" s="3"/>
      <c r="J931" s="3"/>
      <c r="K931" s="3"/>
    </row>
    <row r="932" spans="1:11" hidden="1" x14ac:dyDescent="0.3">
      <c r="A932" s="3"/>
      <c r="B932" s="3"/>
      <c r="C932" s="3"/>
      <c r="D932" s="3"/>
      <c r="E932" s="3"/>
      <c r="F932" s="3"/>
      <c r="G932" s="3"/>
      <c r="H932" s="3"/>
      <c r="I932" s="3"/>
      <c r="J932" s="3"/>
      <c r="K932" s="3"/>
    </row>
    <row r="933" spans="1:11" hidden="1" x14ac:dyDescent="0.3">
      <c r="A933" s="3"/>
      <c r="B933" s="3"/>
      <c r="C933" s="3"/>
      <c r="D933" s="3"/>
      <c r="E933" s="3"/>
      <c r="F933" s="3"/>
      <c r="G933" s="3"/>
      <c r="H933" s="3"/>
      <c r="I933" s="3"/>
      <c r="J933" s="3"/>
      <c r="K933" s="3"/>
    </row>
    <row r="934" spans="1:11" hidden="1" x14ac:dyDescent="0.3">
      <c r="A934" s="3"/>
      <c r="B934" s="3"/>
      <c r="C934" s="3"/>
      <c r="D934" s="3"/>
      <c r="E934" s="3"/>
      <c r="F934" s="3"/>
      <c r="G934" s="3"/>
      <c r="H934" s="3"/>
      <c r="I934" s="3"/>
      <c r="J934" s="3"/>
      <c r="K934" s="3"/>
    </row>
    <row r="935" spans="1:11" hidden="1" x14ac:dyDescent="0.3">
      <c r="A935" s="3"/>
      <c r="B935" s="3"/>
      <c r="C935" s="3"/>
      <c r="D935" s="3"/>
      <c r="E935" s="3"/>
      <c r="F935" s="3"/>
      <c r="G935" s="3"/>
      <c r="H935" s="3"/>
      <c r="I935" s="3"/>
      <c r="J935" s="3"/>
      <c r="K935" s="3"/>
    </row>
    <row r="936" spans="1:11" hidden="1" x14ac:dyDescent="0.3">
      <c r="A936" s="3"/>
      <c r="B936" s="3"/>
      <c r="C936" s="3"/>
      <c r="D936" s="3"/>
      <c r="E936" s="3"/>
      <c r="F936" s="3"/>
      <c r="G936" s="3"/>
      <c r="H936" s="3"/>
      <c r="I936" s="3"/>
      <c r="J936" s="3"/>
      <c r="K936" s="3"/>
    </row>
    <row r="937" spans="1:11" hidden="1" x14ac:dyDescent="0.3">
      <c r="A937" s="3"/>
      <c r="B937" s="3"/>
      <c r="C937" s="3"/>
      <c r="D937" s="3"/>
      <c r="E937" s="3"/>
      <c r="F937" s="3"/>
      <c r="G937" s="3"/>
      <c r="H937" s="3"/>
      <c r="I937" s="3"/>
      <c r="J937" s="3"/>
      <c r="K937" s="3"/>
    </row>
    <row r="938" spans="1:11" hidden="1" x14ac:dyDescent="0.3">
      <c r="A938" s="3"/>
      <c r="B938" s="3"/>
      <c r="C938" s="3"/>
      <c r="D938" s="3"/>
      <c r="E938" s="3"/>
      <c r="F938" s="3"/>
      <c r="G938" s="3"/>
      <c r="H938" s="3"/>
      <c r="I938" s="3"/>
      <c r="J938" s="3"/>
      <c r="K938" s="3"/>
    </row>
    <row r="939" spans="1:11" hidden="1" x14ac:dyDescent="0.3">
      <c r="A939" s="3"/>
      <c r="B939" s="3"/>
      <c r="C939" s="3"/>
      <c r="D939" s="3"/>
      <c r="E939" s="3"/>
      <c r="F939" s="3"/>
      <c r="G939" s="3"/>
      <c r="H939" s="3"/>
      <c r="I939" s="3"/>
      <c r="J939" s="3"/>
      <c r="K939" s="3"/>
    </row>
    <row r="940" spans="1:11" hidden="1" x14ac:dyDescent="0.3">
      <c r="A940" s="3"/>
      <c r="B940" s="3"/>
      <c r="C940" s="3"/>
      <c r="D940" s="3"/>
      <c r="E940" s="3"/>
      <c r="F940" s="3"/>
      <c r="G940" s="3"/>
      <c r="H940" s="3"/>
      <c r="I940" s="3"/>
      <c r="J940" s="3"/>
      <c r="K940" s="3"/>
    </row>
    <row r="941" spans="1:11" hidden="1" x14ac:dyDescent="0.3">
      <c r="A941" s="3"/>
      <c r="B941" s="3"/>
      <c r="C941" s="3"/>
      <c r="D941" s="3"/>
      <c r="E941" s="3"/>
      <c r="F941" s="3"/>
      <c r="G941" s="3"/>
      <c r="H941" s="3"/>
      <c r="I941" s="3"/>
      <c r="J941" s="3"/>
      <c r="K941" s="3"/>
    </row>
    <row r="942" spans="1:11" hidden="1" x14ac:dyDescent="0.3">
      <c r="A942" s="3"/>
      <c r="B942" s="3"/>
      <c r="C942" s="3"/>
      <c r="D942" s="3"/>
      <c r="E942" s="3"/>
      <c r="F942" s="3"/>
      <c r="G942" s="3"/>
      <c r="H942" s="3"/>
      <c r="I942" s="3"/>
      <c r="J942" s="3"/>
      <c r="K942" s="3"/>
    </row>
    <row r="943" spans="1:11" hidden="1" x14ac:dyDescent="0.3">
      <c r="A943" s="3"/>
      <c r="B943" s="3"/>
      <c r="C943" s="3"/>
      <c r="D943" s="3"/>
      <c r="E943" s="3"/>
      <c r="F943" s="3"/>
      <c r="G943" s="3"/>
      <c r="H943" s="3"/>
      <c r="I943" s="3"/>
      <c r="J943" s="3"/>
      <c r="K943" s="3"/>
    </row>
    <row r="944" spans="1:11" hidden="1" x14ac:dyDescent="0.3">
      <c r="A944" s="3"/>
      <c r="B944" s="3"/>
      <c r="C944" s="3"/>
      <c r="D944" s="3"/>
      <c r="E944" s="3"/>
      <c r="F944" s="3"/>
      <c r="G944" s="3"/>
      <c r="H944" s="3"/>
      <c r="I944" s="3"/>
      <c r="J944" s="3"/>
      <c r="K944" s="3"/>
    </row>
    <row r="945" spans="1:11" hidden="1" x14ac:dyDescent="0.3">
      <c r="A945" s="3"/>
      <c r="B945" s="3"/>
      <c r="C945" s="3"/>
      <c r="D945" s="3"/>
      <c r="E945" s="3"/>
      <c r="F945" s="3"/>
      <c r="G945" s="3"/>
      <c r="H945" s="3"/>
      <c r="I945" s="3"/>
      <c r="J945" s="3"/>
      <c r="K945" s="3"/>
    </row>
    <row r="946" spans="1:11" hidden="1" x14ac:dyDescent="0.3">
      <c r="A946" s="3"/>
      <c r="B946" s="3"/>
      <c r="C946" s="3"/>
      <c r="D946" s="3"/>
      <c r="E946" s="3"/>
      <c r="F946" s="3"/>
      <c r="G946" s="3"/>
      <c r="H946" s="3"/>
      <c r="I946" s="3"/>
      <c r="J946" s="3"/>
      <c r="K946" s="3"/>
    </row>
    <row r="947" spans="1:11" hidden="1" x14ac:dyDescent="0.3">
      <c r="A947" s="3"/>
      <c r="B947" s="3"/>
      <c r="C947" s="3"/>
      <c r="D947" s="3"/>
      <c r="E947" s="3"/>
      <c r="F947" s="3"/>
      <c r="G947" s="3"/>
      <c r="H947" s="3"/>
      <c r="I947" s="3"/>
      <c r="J947" s="3"/>
      <c r="K947" s="3"/>
    </row>
    <row r="948" spans="1:11" hidden="1" x14ac:dyDescent="0.3">
      <c r="A948" s="3"/>
      <c r="B948" s="3"/>
      <c r="C948" s="3"/>
      <c r="D948" s="3"/>
      <c r="E948" s="3"/>
      <c r="F948" s="3"/>
      <c r="G948" s="3"/>
      <c r="H948" s="3"/>
      <c r="I948" s="3"/>
      <c r="J948" s="3"/>
      <c r="K948" s="3"/>
    </row>
    <row r="949" spans="1:11" hidden="1" x14ac:dyDescent="0.3">
      <c r="A949" s="3"/>
      <c r="B949" s="3"/>
      <c r="C949" s="3"/>
      <c r="D949" s="3"/>
      <c r="E949" s="3"/>
      <c r="F949" s="3"/>
      <c r="G949" s="3"/>
      <c r="H949" s="3"/>
      <c r="I949" s="3"/>
      <c r="J949" s="3"/>
      <c r="K949" s="3"/>
    </row>
    <row r="950" spans="1:11" hidden="1" x14ac:dyDescent="0.3">
      <c r="A950" s="3"/>
      <c r="B950" s="3"/>
      <c r="C950" s="3"/>
      <c r="D950" s="3"/>
      <c r="E950" s="3"/>
      <c r="F950" s="3"/>
      <c r="G950" s="3"/>
      <c r="H950" s="3"/>
      <c r="I950" s="3"/>
      <c r="J950" s="3"/>
      <c r="K950" s="3"/>
    </row>
    <row r="951" spans="1:11" hidden="1" x14ac:dyDescent="0.3">
      <c r="A951" s="3"/>
      <c r="B951" s="3"/>
      <c r="C951" s="3"/>
      <c r="D951" s="3"/>
      <c r="E951" s="3"/>
      <c r="F951" s="3"/>
      <c r="G951" s="3"/>
      <c r="H951" s="3"/>
      <c r="I951" s="3"/>
      <c r="J951" s="3"/>
      <c r="K951" s="3"/>
    </row>
    <row r="952" spans="1:11" hidden="1" x14ac:dyDescent="0.3">
      <c r="A952" s="3"/>
      <c r="B952" s="3"/>
      <c r="C952" s="3"/>
      <c r="D952" s="3"/>
      <c r="E952" s="3"/>
      <c r="F952" s="3"/>
      <c r="G952" s="3"/>
      <c r="H952" s="3"/>
      <c r="I952" s="3"/>
      <c r="J952" s="3"/>
      <c r="K952" s="3"/>
    </row>
    <row r="953" spans="1:11" hidden="1" x14ac:dyDescent="0.3">
      <c r="A953" s="3"/>
      <c r="B953" s="3"/>
      <c r="C953" s="3"/>
      <c r="D953" s="3"/>
      <c r="E953" s="3"/>
      <c r="F953" s="3"/>
      <c r="G953" s="3"/>
      <c r="H953" s="3"/>
      <c r="I953" s="3"/>
      <c r="J953" s="3"/>
      <c r="K953" s="3"/>
    </row>
    <row r="954" spans="1:11" hidden="1" x14ac:dyDescent="0.3">
      <c r="A954" s="3"/>
      <c r="B954" s="3"/>
      <c r="C954" s="3"/>
      <c r="D954" s="3"/>
      <c r="E954" s="3"/>
      <c r="F954" s="3"/>
      <c r="G954" s="3"/>
      <c r="H954" s="3"/>
      <c r="I954" s="3"/>
      <c r="J954" s="3"/>
      <c r="K954" s="3"/>
    </row>
    <row r="955" spans="1:11" hidden="1" x14ac:dyDescent="0.3">
      <c r="A955" s="3"/>
      <c r="B955" s="3"/>
      <c r="C955" s="3"/>
      <c r="D955" s="3"/>
      <c r="E955" s="3"/>
      <c r="F955" s="3"/>
      <c r="G955" s="3"/>
      <c r="H955" s="3"/>
      <c r="I955" s="3"/>
      <c r="J955" s="3"/>
      <c r="K955" s="3"/>
    </row>
    <row r="956" spans="1:11" hidden="1" x14ac:dyDescent="0.3">
      <c r="A956" s="3"/>
      <c r="B956" s="3"/>
      <c r="C956" s="3"/>
      <c r="D956" s="3"/>
      <c r="E956" s="3"/>
      <c r="F956" s="3"/>
      <c r="G956" s="3"/>
      <c r="H956" s="3"/>
      <c r="I956" s="3"/>
      <c r="J956" s="3"/>
      <c r="K956" s="3"/>
    </row>
    <row r="957" spans="1:11" hidden="1" x14ac:dyDescent="0.3">
      <c r="A957" s="3"/>
      <c r="B957" s="3"/>
      <c r="C957" s="3"/>
      <c r="D957" s="3"/>
      <c r="E957" s="3"/>
      <c r="F957" s="3"/>
      <c r="G957" s="3"/>
      <c r="H957" s="3"/>
      <c r="I957" s="3"/>
      <c r="J957" s="3"/>
      <c r="K957" s="3"/>
    </row>
    <row r="958" spans="1:11" hidden="1" x14ac:dyDescent="0.3">
      <c r="A958" s="3"/>
      <c r="B958" s="3"/>
      <c r="C958" s="3"/>
      <c r="D958" s="3"/>
      <c r="E958" s="3"/>
      <c r="F958" s="3"/>
      <c r="G958" s="3"/>
      <c r="H958" s="3"/>
      <c r="I958" s="3"/>
      <c r="J958" s="3"/>
      <c r="K958" s="3"/>
    </row>
    <row r="959" spans="1:11" hidden="1" x14ac:dyDescent="0.3">
      <c r="A959" s="3"/>
      <c r="B959" s="3"/>
      <c r="C959" s="3"/>
      <c r="D959" s="3"/>
      <c r="E959" s="3"/>
      <c r="F959" s="3"/>
      <c r="G959" s="3"/>
      <c r="H959" s="3"/>
      <c r="I959" s="3"/>
      <c r="J959" s="3"/>
      <c r="K959" s="3"/>
    </row>
    <row r="960" spans="1:11" hidden="1" x14ac:dyDescent="0.3">
      <c r="A960" s="3"/>
      <c r="B960" s="3"/>
      <c r="C960" s="3"/>
      <c r="D960" s="3"/>
      <c r="E960" s="3"/>
      <c r="F960" s="3"/>
      <c r="G960" s="3"/>
      <c r="H960" s="3"/>
      <c r="I960" s="3"/>
      <c r="J960" s="3"/>
      <c r="K960" s="3"/>
    </row>
    <row r="961" spans="1:11" hidden="1" x14ac:dyDescent="0.3">
      <c r="A961" s="3"/>
      <c r="B961" s="3"/>
      <c r="C961" s="3"/>
      <c r="D961" s="3"/>
      <c r="E961" s="3"/>
      <c r="F961" s="3"/>
      <c r="G961" s="3"/>
      <c r="H961" s="3"/>
      <c r="I961" s="3"/>
      <c r="J961" s="3"/>
      <c r="K961" s="3"/>
    </row>
    <row r="962" spans="1:11" hidden="1" x14ac:dyDescent="0.3">
      <c r="A962" s="3"/>
      <c r="B962" s="3"/>
      <c r="C962" s="3"/>
      <c r="D962" s="3"/>
      <c r="E962" s="3"/>
      <c r="F962" s="3"/>
      <c r="G962" s="3"/>
      <c r="H962" s="3"/>
      <c r="I962" s="3"/>
      <c r="J962" s="3"/>
      <c r="K962" s="3"/>
    </row>
    <row r="963" spans="1:11" x14ac:dyDescent="0.3"/>
  </sheetData>
  <sheetProtection algorithmName="SHA-512" hashValue="EQPOQf93V5HHvAiAxBorlonM/F+AKzNkQKGXTdOfcLKFLDfMmkpLbgnDHabWveG8sALThpd2vdziklN0JKq5xA==" saltValue="1eodEqwSFaE8xubHA9DGIA==" spinCount="100000" sheet="1" objects="1" scenarios="1"/>
  <autoFilter ref="A2:V333" xr:uid="{7A8EA376-A694-4C57-ABC3-273136BB8C1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92A95-A044-48B4-B148-275DEF58F358}">
  <sheetPr>
    <tabColor rgb="FF00636C"/>
  </sheetPr>
  <dimension ref="A1:L112"/>
  <sheetViews>
    <sheetView showGridLines="0" showZeros="0" topLeftCell="A54" zoomScale="80" zoomScaleNormal="80" workbookViewId="0">
      <selection activeCell="B66" sqref="B66"/>
    </sheetView>
  </sheetViews>
  <sheetFormatPr defaultColWidth="0" defaultRowHeight="0" customHeight="1" zeroHeight="1" x14ac:dyDescent="0.25"/>
  <cols>
    <col min="1" max="1" width="8.3046875" customWidth="1"/>
    <col min="2" max="2" width="55.07421875" style="1" customWidth="1"/>
    <col min="3" max="3" width="18.921875" style="8" customWidth="1"/>
    <col min="4" max="4" width="55.69140625" style="9" customWidth="1"/>
    <col min="5" max="5" width="32" style="10" customWidth="1"/>
    <col min="6" max="6" width="30.69140625" style="1" customWidth="1"/>
    <col min="7" max="7" width="18.07421875" style="1" customWidth="1"/>
    <col min="8" max="8" width="18.07421875" style="1" hidden="1" customWidth="1"/>
    <col min="9" max="10" width="18.07421875" style="35" hidden="1" customWidth="1"/>
    <col min="11" max="11" width="4.4609375" style="1" hidden="1" customWidth="1"/>
    <col min="12" max="12" width="6.61328125" style="1" hidden="1" customWidth="1"/>
    <col min="13" max="16384" width="6.61328125" hidden="1"/>
  </cols>
  <sheetData>
    <row r="1" spans="1:10" ht="0" hidden="1" customHeight="1" x14ac:dyDescent="0.25">
      <c r="A1" t="s">
        <v>1448</v>
      </c>
    </row>
    <row r="2" spans="1:10" ht="36" customHeight="1" x14ac:dyDescent="0.25">
      <c r="A2" s="168" t="s">
        <v>1514</v>
      </c>
      <c r="B2" s="168"/>
      <c r="C2" s="169"/>
      <c r="D2" s="308"/>
      <c r="E2" s="170"/>
      <c r="F2" s="170" t="str">
        <f>'Auto Responses'!$A$36</f>
        <v>Version 4.1.5</v>
      </c>
      <c r="J2" s="1"/>
    </row>
    <row r="3" spans="1:10" s="1" customFormat="1" ht="29.1" customHeight="1" x14ac:dyDescent="0.25">
      <c r="A3" s="37" t="s">
        <v>940</v>
      </c>
      <c r="B3" s="38"/>
      <c r="C3" s="66">
        <f>'START HERE'!$C$3</f>
        <v>0</v>
      </c>
      <c r="D3" s="309"/>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10"/>
      <c r="E5" s="16"/>
      <c r="F5" s="261"/>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10"/>
      <c r="E6" s="16"/>
      <c r="F6" s="262"/>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10"/>
      <c r="E7" s="16"/>
      <c r="F7" s="262"/>
      <c r="I7" s="35"/>
    </row>
    <row r="8" spans="1:10" s="1" customFormat="1" ht="19.5" customHeight="1" x14ac:dyDescent="0.25">
      <c r="A8" s="42" t="str">
        <f>HLOOKUP($A$4,'Auto Responses'!$D$2:$D$8,5,0)&amp;""</f>
        <v>4. DO NOT complete any fields in the "Evaluation" sheets or the "Analyst Notes" column.</v>
      </c>
      <c r="B8" s="16"/>
      <c r="C8" s="67"/>
      <c r="D8" s="310"/>
      <c r="E8" s="16"/>
      <c r="F8" s="262"/>
      <c r="I8" s="35"/>
    </row>
    <row r="9" spans="1:10" s="1" customFormat="1" ht="19.5" customHeight="1" x14ac:dyDescent="0.25">
      <c r="A9" s="42" t="str">
        <f>HLOOKUP($A$4,'Auto Responses'!$D$2:$D$8,6,0)&amp;""</f>
        <v>5. Return the completed file to institutions.</v>
      </c>
      <c r="B9" s="16"/>
      <c r="C9" s="67"/>
      <c r="D9" s="310"/>
      <c r="E9" s="16"/>
      <c r="F9" s="262"/>
      <c r="I9" s="35"/>
    </row>
    <row r="10" spans="1:10" s="1" customFormat="1" ht="19.5" customHeight="1" x14ac:dyDescent="0.25">
      <c r="A10" s="247" t="str">
        <f>HLOOKUP($A$4,'Auto Responses'!$D$2:$D$8,7,0)&amp;""</f>
        <v>* Denotes critical questions. Critical questions are those deemed most important to institutions by higher education volunteers.</v>
      </c>
      <c r="B10" s="16"/>
      <c r="C10" s="67"/>
      <c r="D10" s="310"/>
      <c r="E10" s="16"/>
      <c r="F10" s="262"/>
      <c r="I10" s="35"/>
    </row>
    <row r="11" spans="1:10" s="249" customFormat="1" ht="19.5" customHeight="1" x14ac:dyDescent="0.25">
      <c r="A11" s="246" t="str">
        <f>HLOOKUP($A$4,'Auto Responses'!$D$2:$D$9,8,0)&amp;""</f>
        <v>For full instructions, please visit educause.edu/HECVAT</v>
      </c>
      <c r="B11" s="247"/>
      <c r="C11" s="248"/>
      <c r="D11" s="319"/>
      <c r="E11" s="247"/>
      <c r="F11" s="264"/>
      <c r="I11" s="250"/>
    </row>
    <row r="12" spans="1:10" s="1" customFormat="1" ht="36" customHeight="1" x14ac:dyDescent="0.25">
      <c r="A12" s="63" t="str">
        <f>VLOOKUP(LEFT($A13,4),'Auto Responses'!$N$4:$O$38,2,0)&amp;""</f>
        <v xml:space="preserve"> General Information</v>
      </c>
      <c r="B12" s="12"/>
      <c r="C12" s="13" t="s">
        <v>1497</v>
      </c>
      <c r="D12" s="311"/>
      <c r="E12" s="17"/>
      <c r="F12" s="17"/>
      <c r="I12" s="35"/>
      <c r="J12" s="35"/>
    </row>
    <row r="13" spans="1:10" s="1" customFormat="1" ht="22.35" customHeight="1" x14ac:dyDescent="0.25">
      <c r="A13" s="19" t="s">
        <v>21</v>
      </c>
      <c r="B13" s="20" t="str">
        <f>VLOOKUP($A13,Questions!$A$2:$X$333,2,0)&amp;""</f>
        <v>Solution Provider Name</v>
      </c>
      <c r="C13" s="76" t="str">
        <f>VLOOKUP($A13,'START HERE'!$A$13:$C$21,3,0)&amp;""</f>
        <v>Cursive Technology Inc</v>
      </c>
      <c r="D13" s="32"/>
      <c r="E13" s="32"/>
      <c r="F13" s="50"/>
      <c r="I13" s="35"/>
      <c r="J13" s="35"/>
    </row>
    <row r="14" spans="1:10" s="1" customFormat="1" ht="22.35" customHeight="1" x14ac:dyDescent="0.25">
      <c r="A14" s="19" t="s">
        <v>24</v>
      </c>
      <c r="B14" s="20" t="str">
        <f>VLOOKUP($A14,Questions!$A$2:$X$333,2,0)&amp;""</f>
        <v>Solution Name</v>
      </c>
      <c r="C14" s="76" t="str">
        <f>VLOOKUP($A14,'START HERE'!$A$13:$C$21,3,0)&amp;""</f>
        <v>TypeID</v>
      </c>
      <c r="D14" s="32"/>
      <c r="E14" s="32"/>
      <c r="F14" s="50"/>
      <c r="I14" s="35"/>
      <c r="J14" s="35"/>
    </row>
    <row r="15" spans="1:10" s="1" customFormat="1" ht="22.35" customHeight="1" x14ac:dyDescent="0.25">
      <c r="A15" s="19" t="s">
        <v>25</v>
      </c>
      <c r="B15" s="20" t="str">
        <f>VLOOKUP($A15,Questions!$A$2:$X$333,2,0)&amp;""</f>
        <v>Solution Description</v>
      </c>
      <c r="C15" s="76" t="str">
        <f>VLOOKUP($A15,'START HERE'!$A$13:$C$21,3,0)&amp;""</f>
        <v>Continuous authorship verification and writing analytics using typing biometrics. Native Moodle plugin, browser extension for any LMS, WordPress-based authorship report and verification system.</v>
      </c>
      <c r="D15" s="32"/>
      <c r="E15" s="32"/>
      <c r="F15" s="50"/>
      <c r="I15" s="35"/>
      <c r="J15" s="35"/>
    </row>
    <row r="16" spans="1:10" s="1" customFormat="1" ht="22.35" customHeight="1" x14ac:dyDescent="0.25">
      <c r="A16" s="19" t="s">
        <v>26</v>
      </c>
      <c r="B16" s="20" t="str">
        <f>VLOOKUP($A16,Questions!$A$2:$X$333,2,0)&amp;""</f>
        <v>Solution Provider Contact Name</v>
      </c>
      <c r="C16" s="76" t="str">
        <f>VLOOKUP($A16,'START HERE'!$A$13:$C$21,3,0)&amp;""</f>
        <v>Joseph Thibault</v>
      </c>
      <c r="D16" s="32"/>
      <c r="E16" s="32"/>
      <c r="F16" s="50"/>
      <c r="I16" s="35"/>
      <c r="J16" s="35"/>
    </row>
    <row r="17" spans="1:10" s="1" customFormat="1" ht="22.35" customHeight="1" x14ac:dyDescent="0.25">
      <c r="A17" s="19" t="s">
        <v>27</v>
      </c>
      <c r="B17" s="20" t="str">
        <f>VLOOKUP($A17,Questions!$A$2:$X$333,2,0)&amp;""</f>
        <v>Solution Provider Contact Title</v>
      </c>
      <c r="C17" s="76" t="str">
        <f>VLOOKUP($A17,'START HERE'!$A$13:$C$21,3,0)&amp;""</f>
        <v>CEO</v>
      </c>
      <c r="D17" s="32"/>
      <c r="E17" s="32"/>
      <c r="F17" s="50"/>
      <c r="I17" s="35"/>
      <c r="J17" s="35"/>
    </row>
    <row r="18" spans="1:10" s="1" customFormat="1" ht="22.35" customHeight="1" x14ac:dyDescent="0.25">
      <c r="A18" s="19" t="s">
        <v>28</v>
      </c>
      <c r="B18" s="20" t="str">
        <f>VLOOKUP($A18,Questions!$A$2:$X$333,2,0)&amp;""</f>
        <v>Solution Provider Contact Email</v>
      </c>
      <c r="C18" s="76" t="str">
        <f>VLOOKUP($A18,'START HERE'!$A$13:$C$21,3,0)&amp;""</f>
        <v>joe@cursivetechnology.com</v>
      </c>
      <c r="D18" s="32"/>
      <c r="E18" s="32"/>
      <c r="F18" s="50"/>
      <c r="I18" s="35"/>
      <c r="J18" s="35"/>
    </row>
    <row r="19" spans="1:10" s="1" customFormat="1" ht="22.35" customHeight="1" x14ac:dyDescent="0.25">
      <c r="A19" s="19" t="s">
        <v>29</v>
      </c>
      <c r="B19" s="20" t="str">
        <f>VLOOKUP($A19,Questions!$A$2:$X$333,2,0)&amp;""</f>
        <v>Solution Provider Contact Phone Number</v>
      </c>
      <c r="C19" s="76" t="str">
        <f>VLOOKUP($A19,'START HERE'!$A$13:$C$21,3,0)&amp;""</f>
        <v>410-231-3323</v>
      </c>
      <c r="D19" s="32"/>
      <c r="E19" s="32"/>
      <c r="F19" s="50"/>
      <c r="I19" s="35"/>
      <c r="J19" s="35"/>
    </row>
    <row r="20" spans="1:10" s="1" customFormat="1" ht="22.35" customHeight="1" thickBot="1" x14ac:dyDescent="0.3">
      <c r="A20" s="19" t="s">
        <v>30</v>
      </c>
      <c r="B20" s="20" t="str">
        <f>VLOOKUP($A20,Questions!$A$2:$X$333,2,0)&amp;""</f>
        <v>Country of Company Headquarters</v>
      </c>
      <c r="C20" s="76" t="str">
        <f>VLOOKUP($A20,'START HERE'!$A$13:$C$21,3,0)&amp;""</f>
        <v>USA</v>
      </c>
      <c r="D20" s="32"/>
      <c r="E20" s="32"/>
      <c r="F20" s="50"/>
      <c r="I20" s="35"/>
      <c r="J20" s="35"/>
    </row>
    <row r="21" spans="1:10" s="1" customFormat="1" ht="37.35" customHeight="1" thickBot="1" x14ac:dyDescent="0.3">
      <c r="A21" s="63" t="str">
        <f>VLOOKUP(LEFT($A22,4),'Auto Responses'!$N$4:$O$38,2,0)&amp;""</f>
        <v xml:space="preserve"> Documentation</v>
      </c>
      <c r="B21" s="22"/>
      <c r="C21" s="13" t="s">
        <v>1497</v>
      </c>
      <c r="D21" s="13" t="s">
        <v>72</v>
      </c>
      <c r="E21" s="31" t="s">
        <v>848</v>
      </c>
      <c r="F21" s="187" t="s">
        <v>849</v>
      </c>
      <c r="I21" s="35"/>
      <c r="J21" s="35"/>
    </row>
    <row r="22" spans="1:10" s="1" customFormat="1" ht="38.25" customHeight="1" x14ac:dyDescent="0.25">
      <c r="A22" s="19" t="s">
        <v>70</v>
      </c>
      <c r="B22" s="18" t="str">
        <f>VLOOKUP($A22,Questions!$A$2:$X$333,2,0)</f>
        <v>Do you have a well-documented business continuity plan (BCP), with a clear owner, that is tested annually?*</v>
      </c>
      <c r="C22" s="21" t="s">
        <v>40</v>
      </c>
      <c r="D22" s="320" t="s">
        <v>1929</v>
      </c>
      <c r="E22" s="167" t="str">
        <f>IF($C22='Auto Responses'!$J$3,VLOOKUP($A22,Questions!$A$2:$X$333,17,0)&amp;"",IF($C22='Auto Responses'!$J$4,VLOOKUP($A22,Questions!$A$2:$X$333,16,0)&amp;"",VLOOKUP($A22,Questions!$A$2:$X$333,15,0)&amp;""))</f>
        <v/>
      </c>
      <c r="F22" s="201" t="str">
        <f>VLOOKUP($A22,'Institution Evaluation'!$A$56:$F$345,6,0)&amp;""</f>
        <v/>
      </c>
      <c r="I22" s="35"/>
      <c r="J22" s="35"/>
    </row>
    <row r="23" spans="1:10" s="1" customFormat="1" ht="38.25" customHeight="1" x14ac:dyDescent="0.25">
      <c r="A23" s="19" t="s">
        <v>76</v>
      </c>
      <c r="B23" s="18" t="str">
        <f>VLOOKUP($A23,Questions!$A$2:$X$333,2,0)</f>
        <v>Do you have a well-documented disaster recovery plan (DRP), with a clear owner, that is tested annually?*</v>
      </c>
      <c r="C23" s="21" t="s">
        <v>40</v>
      </c>
      <c r="D23" s="320" t="s">
        <v>1930</v>
      </c>
      <c r="E23" s="167" t="str">
        <f>IF($C23='Auto Responses'!$J$3,VLOOKUP($A23,Questions!$A$2:$X$333,17,0)&amp;"",IF($C23='Auto Responses'!$J$4,VLOOKUP($A23,Questions!$A$2:$X$333,16,0)&amp;"",VLOOKUP($A23,Questions!$A$2:$X$333,15,0)&amp;""))</f>
        <v/>
      </c>
      <c r="F23" s="201" t="str">
        <f>VLOOKUP($A23,'Institution Evaluation'!$A$56:$F$345,6,0)&amp;""</f>
        <v/>
      </c>
      <c r="I23" s="35"/>
      <c r="J23" s="35"/>
    </row>
    <row r="24" spans="1:10" s="1" customFormat="1" ht="55.2" x14ac:dyDescent="0.25">
      <c r="A24" s="19" t="s">
        <v>77</v>
      </c>
      <c r="B24" s="18" t="str">
        <f>VLOOKUP($A24,Questions!$A$2:$X$333,2,0)</f>
        <v>Have you undergone a SSAE 18/SOC 2 audit?</v>
      </c>
      <c r="C24" s="21" t="s">
        <v>148</v>
      </c>
      <c r="D24" s="320" t="s">
        <v>1926</v>
      </c>
      <c r="E24" s="167" t="str">
        <f>IF($C24='Auto Responses'!$J$3,VLOOKUP($A24,Questions!$A$2:$X$333,17,0)&amp;"",IF($C24='Auto Responses'!$J$4,VLOOKUP($A24,Questions!$A$2:$X$333,16,0)&amp;"",VLOOKUP($A24,Questions!$A$2:$X$333,15,0)&amp;""))</f>
        <v>Describe any plans to undergo a SSAE 18 audit.</v>
      </c>
      <c r="F24" s="201" t="str">
        <f>VLOOKUP($A24,'Institution Evaluation'!$A$56:$F$345,6,0)&amp;""</f>
        <v/>
      </c>
      <c r="I24" s="35"/>
      <c r="J24" s="35"/>
    </row>
    <row r="25" spans="1:10" s="1" customFormat="1" ht="48" customHeight="1" x14ac:dyDescent="0.25">
      <c r="A25" s="19" t="s">
        <v>80</v>
      </c>
      <c r="B25" s="18" t="str">
        <f>VLOOKUP($A25,Questions!$A$2:$X$333,2,0)</f>
        <v>Do you conform with a specific industry standard security framework (e.g., NIST Cybersecurity Framework, CIS Controls, ISO 27001, etc.)?</v>
      </c>
      <c r="C25" s="21" t="s">
        <v>148</v>
      </c>
      <c r="D25" s="320" t="s">
        <v>1925</v>
      </c>
      <c r="E25" s="167" t="str">
        <f>IF($C25='Auto Responses'!$J$3,VLOOKUP($A25,Questions!$A$2:$X$333,17,0)&amp;"",IF($C25='Auto Responses'!$J$4,VLOOKUP($A25,Questions!$A$2:$X$333,16,0)&amp;"",VLOOKUP($A25,Questions!$A$2:$X$333,15,0)&amp;""))</f>
        <v>Describe any plans to conform to an industry standard security framework.</v>
      </c>
      <c r="F25" s="201" t="str">
        <f>VLOOKUP($A25,'Institution Evaluation'!$A$56:$F$345,6,0)&amp;""</f>
        <v/>
      </c>
      <c r="I25" s="35"/>
      <c r="J25" s="35"/>
    </row>
    <row r="26" spans="1:10" s="1" customFormat="1" ht="52.5" customHeight="1" x14ac:dyDescent="0.25">
      <c r="A26" s="19" t="s">
        <v>84</v>
      </c>
      <c r="B26" s="18" t="str">
        <f>VLOOKUP($A26,Questions!$A$2:$X$333,2,0)</f>
        <v>Can you provide overall system and/or application architecture diagrams, including a full description of the data flow for all components of the system?</v>
      </c>
      <c r="C26" s="21" t="s">
        <v>40</v>
      </c>
      <c r="D26" s="320" t="s">
        <v>1928</v>
      </c>
      <c r="E26" s="167" t="str">
        <f>IF($C26='Auto Responses'!$J$3,VLOOKUP($A26,Questions!$A$2:$X$333,17,0)&amp;"",IF($C26='Auto Responses'!$J$4,VLOOKUP($A26,Questions!$A$2:$X$333,16,0)&amp;"",VLOOKUP($A26,Questions!$A$2:$X$333,15,0)&amp;""))</f>
        <v>Provide your diagrams (or a valid link to it) upon submission.</v>
      </c>
      <c r="F26" s="201" t="str">
        <f>VLOOKUP($A26,'Institution Evaluation'!$A$56:$F$345,6,0)&amp;""</f>
        <v/>
      </c>
      <c r="I26" s="35"/>
      <c r="J26" s="35"/>
    </row>
    <row r="27" spans="1:10" s="1" customFormat="1" ht="55.5" customHeight="1" x14ac:dyDescent="0.25">
      <c r="A27" s="19" t="s">
        <v>88</v>
      </c>
      <c r="B27" s="18" t="str">
        <f>VLOOKUP($A27,Questions!$A$2:$X$333,2,0)</f>
        <v>Does your organization have a data privacy policy?</v>
      </c>
      <c r="C27" s="21" t="s">
        <v>40</v>
      </c>
      <c r="D27" s="320" t="s">
        <v>1927</v>
      </c>
      <c r="E27" s="167" t="str">
        <f>IF($C27='Auto Responses'!$J$3,VLOOKUP($A27,Questions!$A$2:$X$333,17,0)&amp;"",IF($C27='Auto Responses'!$J$4,VLOOKUP($A27,Questions!$A$2:$X$333,16,0)&amp;"",VLOOKUP($A27,Questions!$A$2:$X$333,15,0)&amp;""))</f>
        <v>Provide your data privacy document (or a valid link to it) upon submission.</v>
      </c>
      <c r="F27" s="201" t="str">
        <f>VLOOKUP($A27,'Institution Evaluation'!$A$56:$F$345,6,0)&amp;""</f>
        <v/>
      </c>
      <c r="I27" s="35"/>
      <c r="J27" s="35"/>
    </row>
    <row r="28" spans="1:10" s="1" customFormat="1" ht="38.25" customHeight="1" thickBot="1" x14ac:dyDescent="0.3">
      <c r="A28" s="19" t="s">
        <v>92</v>
      </c>
      <c r="B28" s="18" t="str">
        <f>VLOOKUP($A28,Questions!$A$2:$X$333,2,0)</f>
        <v>Do you have a documented, and currently implemented, employee onboarding and offboarding policy?</v>
      </c>
      <c r="C28" s="21" t="s">
        <v>40</v>
      </c>
      <c r="D28" s="320" t="s">
        <v>1930</v>
      </c>
      <c r="E28" s="167" t="str">
        <f>IF($C28='Auto Responses'!$J$3,VLOOKUP($A28,Questions!$A$2:$X$333,17,0)&amp;"",IF($C28='Auto Responses'!$J$4,VLOOKUP($A28,Questions!$A$2:$X$333,16,0)&amp;"",VLOOKUP($A28,Questions!$A$2:$X$333,15,0)&amp;""))</f>
        <v>Provide a reference to your employee onboarding and offboarding policy and supporting documentation or submit it along with this fully populated HECVAT.</v>
      </c>
      <c r="F28" s="201" t="str">
        <f>VLOOKUP($A28,'Institution Evaluation'!$A$56:$F$345,6,0)&amp;""</f>
        <v/>
      </c>
      <c r="G28" s="238" t="s">
        <v>1449</v>
      </c>
      <c r="I28" s="35"/>
      <c r="J28" s="35"/>
    </row>
    <row r="29" spans="1:10" s="1" customFormat="1" ht="37.35" customHeight="1" thickBot="1" x14ac:dyDescent="0.3">
      <c r="A29" s="63" t="str">
        <f>VLOOKUP(LEFT($A30,4),'Auto Responses'!$N$4:$O$38,2,0)&amp;""</f>
        <v xml:space="preserve"> Assessment of Third Parties</v>
      </c>
      <c r="B29" s="22"/>
      <c r="C29" s="13" t="s">
        <v>1497</v>
      </c>
      <c r="D29" s="13" t="s">
        <v>72</v>
      </c>
      <c r="E29" s="31" t="s">
        <v>848</v>
      </c>
      <c r="F29" s="187" t="s">
        <v>849</v>
      </c>
      <c r="I29" s="35"/>
      <c r="J29" s="35"/>
    </row>
    <row r="30" spans="1:10" s="1" customFormat="1" ht="151.80000000000001" x14ac:dyDescent="0.25">
      <c r="A30" s="19" t="s">
        <v>130</v>
      </c>
      <c r="B30" s="18" t="str">
        <f>VLOOKUP($A30,Questions!$A$2:$X$333,2,0)</f>
        <v>Do you perform security assessments of third-party companies with which you share data (e.g., hosting providers, cloud services, PaaS, IaaS, SaaS)?*</v>
      </c>
      <c r="C30" s="21" t="s">
        <v>40</v>
      </c>
      <c r="D30" s="320" t="s">
        <v>2116</v>
      </c>
      <c r="E30" s="167" t="str">
        <f>IF($C30='Auto Responses'!$J$3,VLOOKUP($A30,Questions!$A$2:$X$333,17,0)&amp;"",IF($C30='Auto Responses'!$J$4,VLOOKUP($A30,Questions!$A$2:$X$333,16,0)&amp;"",IF($C30='Auto Responses'!$J$5,VLOOKUP($A30,Questions!$A$2:$X$333,18,0)&amp;"",VLOOKUP($A30,Questions!$A$2:$X$333,15,0)&amp;"")))</f>
        <v>Provide a summary of your practices that assures that the third party will be subject to the appropriate standards regarding security, service recoverability, and confidentiality.</v>
      </c>
      <c r="F30" s="201" t="str">
        <f>VLOOKUP($A30,'Institution Evaluation'!$A$56:$F$345,6,0)&amp;""</f>
        <v/>
      </c>
      <c r="I30" s="35"/>
      <c r="J30" s="35"/>
    </row>
    <row r="31" spans="1:10" s="1" customFormat="1" ht="331.2" x14ac:dyDescent="0.25">
      <c r="A31" s="19" t="s">
        <v>134</v>
      </c>
      <c r="B31" s="18" t="str">
        <f>VLOOKUP($A31,Questions!$A$2:$X$333,2,0)</f>
        <v>Do you have contractual language in place with third parties governing access to institutional data?*</v>
      </c>
      <c r="C31" s="21" t="s">
        <v>40</v>
      </c>
      <c r="D31" s="9" t="s">
        <v>2117</v>
      </c>
      <c r="E31" s="167" t="str">
        <f>IF($C31='Auto Responses'!$J$3,VLOOKUP($A31,Questions!$A$2:$X$333,17,0)&amp;"",IF($C31='Auto Responses'!$J$4,VLOOKUP($A31,Questions!$A$2:$X$333,16,0)&amp;"",IF($C31='Auto Responses'!$J$5,VLOOKUP($A31,Questions!$A$2:$X$333,18,0)&amp;"",VLOOKUP($A31,Questions!$A$2:$X$333,15,0)&amp;"")))</f>
        <v>List each third party and why institutional data is shared with them. Format example: [Third Party Name] - Reason</v>
      </c>
      <c r="F31" s="201" t="str">
        <f>VLOOKUP($A31,'Institution Evaluation'!$A$56:$F$345,6,0)&amp;""</f>
        <v/>
      </c>
      <c r="I31" s="35"/>
      <c r="J31" s="35"/>
    </row>
    <row r="32" spans="1:10" s="1" customFormat="1" ht="372.6" x14ac:dyDescent="0.25">
      <c r="A32" s="19" t="s">
        <v>136</v>
      </c>
      <c r="B32" s="18" t="str">
        <f>VLOOKUP($A32,Questions!$A$2:$X$333,2,0)</f>
        <v>Do the contracts in place with these third parties address liability in the event of a data breach?*</v>
      </c>
      <c r="C32" s="21" t="s">
        <v>148</v>
      </c>
      <c r="D32" s="320" t="s">
        <v>2120</v>
      </c>
      <c r="E32" s="167" t="str">
        <f>IF($C32='Auto Responses'!$J$3,VLOOKUP($A32,Questions!$A$2:$X$333,17,0)&amp;"",IF($C32='Auto Responses'!$J$4,VLOOKUP($A32,Questions!$A$2:$X$333,16,0)&amp;"",IF($C32='Auto Responses'!$J$5,VLOOKUP($A32,Questions!$A$2:$X$333,18,0)&amp;"",VLOOKUP($A32,Questions!$A$2:$X$333,15,0)&amp;"")))</f>
        <v/>
      </c>
      <c r="F32" s="201" t="str">
        <f>VLOOKUP($A32,'Institution Evaluation'!$A$56:$F$345,6,0)&amp;""</f>
        <v/>
      </c>
      <c r="I32" s="35"/>
      <c r="J32" s="35"/>
    </row>
    <row r="33" spans="1:10" s="1" customFormat="1" ht="303.60000000000002" x14ac:dyDescent="0.25">
      <c r="A33" s="19" t="s">
        <v>137</v>
      </c>
      <c r="B33" s="18" t="str">
        <f>VLOOKUP($A33,Questions!$A$2:$X$333,2,0)</f>
        <v>Do you have an implemented third-party management strategy?*</v>
      </c>
      <c r="C33" s="21" t="s">
        <v>40</v>
      </c>
      <c r="D33" s="320" t="s">
        <v>2118</v>
      </c>
      <c r="E33" s="167" t="str">
        <f>IF($C33='Auto Responses'!$J$3,VLOOKUP($A33,Questions!$A$2:$X$333,17,0)&amp;"",IF($C33='Auto Responses'!$J$4,VLOOKUP($A33,Questions!$A$2:$X$333,16,0)&amp;"",IF($C33='Auto Responses'!$J$5,VLOOKUP($A33,Questions!$A$2:$X$333,18,0)&amp;"",VLOOKUP($A33,Questions!$A$2:$X$333,15,0)&amp;"")))</f>
        <v>Provide additional information that may help analysts better understand your environment and how it relates to third-party solutions.</v>
      </c>
      <c r="F33" s="201" t="str">
        <f>VLOOKUP($A33,'Institution Evaluation'!$A$56:$F$345,6,0)&amp;""</f>
        <v/>
      </c>
      <c r="I33" s="35"/>
      <c r="J33" s="35"/>
    </row>
    <row r="34" spans="1:10" s="1" customFormat="1" ht="152.4" thickBot="1" x14ac:dyDescent="0.3">
      <c r="A34" s="19" t="s">
        <v>140</v>
      </c>
      <c r="B34" s="18" t="str">
        <f>VLOOKUP($A34,Questions!$A$2:$X$333,2,0)</f>
        <v>Do you have a process and implemented procedures for managing your hardware supply chain (e.g., telecommunications equipment, export licensing, computing devices)?</v>
      </c>
      <c r="C34" s="21" t="s">
        <v>148</v>
      </c>
      <c r="D34" s="320" t="s">
        <v>2119</v>
      </c>
      <c r="E34" s="167" t="str">
        <f>IF($C34='Auto Responses'!$J$3,VLOOKUP($A34,Questions!$A$2:$X$333,17,0)&amp;"",IF($C34='Auto Responses'!$J$4,VLOOKUP($A34,Questions!$A$2:$X$333,16,0)&amp;"",VLOOKUP($A34,Questions!$A$2:$X$333,15,0)&amp;""))</f>
        <v>State your plans to create a process and implemented procedures for managing your hardware supply chain.</v>
      </c>
      <c r="F34" s="201" t="str">
        <f>VLOOKUP($A34,'Institution Evaluation'!$A$56:$F$345,6,0)&amp;""</f>
        <v/>
      </c>
      <c r="G34" s="238" t="s">
        <v>1449</v>
      </c>
      <c r="I34" s="35"/>
      <c r="J34" s="35"/>
    </row>
    <row r="35" spans="1:10" s="1" customFormat="1" ht="37.35" customHeight="1" thickBot="1" x14ac:dyDescent="0.3">
      <c r="A35" s="63" t="str">
        <f>VLOOKUP(LEFT($A36,4),'Auto Responses'!$N$4:$O$38,2,0)&amp;""</f>
        <v xml:space="preserve"> Change Management</v>
      </c>
      <c r="B35" s="22"/>
      <c r="C35" s="13" t="s">
        <v>1497</v>
      </c>
      <c r="D35" s="13" t="s">
        <v>72</v>
      </c>
      <c r="E35" s="31" t="s">
        <v>848</v>
      </c>
      <c r="F35" s="187" t="s">
        <v>849</v>
      </c>
      <c r="I35" s="35"/>
      <c r="J35" s="35"/>
    </row>
    <row r="36" spans="1:10" s="1" customFormat="1" ht="124.2" x14ac:dyDescent="0.25">
      <c r="A36" s="19" t="s">
        <v>274</v>
      </c>
      <c r="B36" s="18" t="str">
        <f>VLOOKUP($A36,Questions!$A$2:$X$333,2,0)</f>
        <v>Will the institution be notified of major changes to your environment that could impact the institution's security posture?*</v>
      </c>
      <c r="C36" s="21" t="s">
        <v>40</v>
      </c>
      <c r="D36" s="320" t="s">
        <v>2121</v>
      </c>
      <c r="E36" s="167" t="str">
        <f>IF($C36='Auto Responses'!$J$3,VLOOKUP($A36,Questions!$A$2:$X$333,17,0)&amp;"",IF($C36='Auto Responses'!$J$4,VLOOKUP($A36,Questions!$A$2:$X$333,16,0)&amp;"",VLOOKUP($A36,Questions!$A$2:$X$333,15,0)&amp;""))</f>
        <v>State how and when the institution will be notified of major changes to your environment.</v>
      </c>
      <c r="F36" s="201" t="str">
        <f>VLOOKUP($A36,'Institution Evaluation'!$A$56:$F$345,6,0)&amp;""</f>
        <v/>
      </c>
      <c r="I36" s="35"/>
      <c r="J36" s="35"/>
    </row>
    <row r="37" spans="1:10" s="1" customFormat="1" ht="138" x14ac:dyDescent="0.25">
      <c r="A37" s="19" t="s">
        <v>279</v>
      </c>
      <c r="B37" s="18" t="str">
        <f>VLOOKUP($A37,Questions!$A$2:$X$333,2,0)</f>
        <v>Does the system support client customizations from one release to another?*</v>
      </c>
      <c r="C37" s="21" t="s">
        <v>40</v>
      </c>
      <c r="D37" s="320" t="s">
        <v>2122</v>
      </c>
      <c r="E37" s="167" t="str">
        <f>IF($C37='Auto Responses'!$J$3,VLOOKUP($A37,Questions!$A$2:$X$333,17,0)&amp;"",IF($C37='Auto Responses'!$J$4,VLOOKUP($A37,Questions!$A$2:$X$333,16,0)&amp;"",IF($C37='Auto Responses'!$J$5,VLOOKUP($A37,Questions!$A$2:$X$333,18,0)&amp;"",VLOOKUP($A37,Questions!$A$2:$X$333,15,0)&amp;"")))</f>
        <v>Describe or provide reference to your solution support strategy in regard to maintaining client customizations from one release to another.</v>
      </c>
      <c r="F37" s="201" t="str">
        <f>VLOOKUP($A37,'Institution Evaluation'!$A$56:$F$345,6,0)&amp;""</f>
        <v/>
      </c>
      <c r="I37" s="35"/>
      <c r="J37" s="35"/>
    </row>
    <row r="38" spans="1:10" s="1" customFormat="1" ht="151.80000000000001" x14ac:dyDescent="0.25">
      <c r="A38" s="19" t="s">
        <v>280</v>
      </c>
      <c r="B38" s="18" t="str">
        <f>VLOOKUP($A38,Questions!$A$2:$X$333,2,0)</f>
        <v>Do you have an implemented system configuration management process (e.g., secure "gold" images, etc.)?*</v>
      </c>
      <c r="C38" s="21" t="s">
        <v>40</v>
      </c>
      <c r="D38" s="320" t="s">
        <v>2123</v>
      </c>
      <c r="E38" s="167" t="str">
        <f>IF($C38='Auto Responses'!$J$3,VLOOKUP($A38,Questions!$A$2:$X$333,17,0)&amp;"",IF($C38='Auto Responses'!$J$4,VLOOKUP($A38,Questions!$A$2:$X$333,16,0)&amp;"",IF($C38='Auto Responses'!$J$5,VLOOKUP($A38,Questions!$A$2:$X$333,18,0)&amp;"",VLOOKUP($A38,Questions!$A$2:$X$333,15,0)&amp;"")))</f>
        <v>Summarize your implemented system configuration management process.</v>
      </c>
      <c r="F38" s="201" t="str">
        <f>VLOOKUP($A38,'Institution Evaluation'!$A$56:$F$345,6,0)&amp;""</f>
        <v/>
      </c>
      <c r="I38" s="35"/>
      <c r="J38" s="35"/>
    </row>
    <row r="39" spans="1:10" s="1" customFormat="1" ht="82.8" x14ac:dyDescent="0.25">
      <c r="A39" s="19" t="s">
        <v>281</v>
      </c>
      <c r="B39" s="18" t="str">
        <f>VLOOKUP($A39,Questions!$A$2:$X$333,2,0)</f>
        <v>Do you have a documented change management process?</v>
      </c>
      <c r="C39" s="21" t="s">
        <v>40</v>
      </c>
      <c r="D39" s="320" t="s">
        <v>2124</v>
      </c>
      <c r="E39" s="167" t="str">
        <f>IF($C39='Auto Responses'!$J$3,VLOOKUP($A39,Questions!$A$2:$X$333,17,0)&amp;"",IF($C39='Auto Responses'!$J$4,VLOOKUP($A39,Questions!$A$2:$X$333,16,0)&amp;"",VLOOKUP($A39,Questions!$A$2:$X$333,15,0)&amp;""))</f>
        <v>Summarize your current change management process.</v>
      </c>
      <c r="F39" s="201" t="str">
        <f>VLOOKUP($A39,'Institution Evaluation'!$A$56:$F$345,6,0)&amp;""</f>
        <v/>
      </c>
      <c r="I39" s="35"/>
      <c r="J39" s="35"/>
    </row>
    <row r="40" spans="1:10" s="1" customFormat="1" ht="124.2" x14ac:dyDescent="0.25">
      <c r="A40" s="19" t="s">
        <v>285</v>
      </c>
      <c r="B40" s="18" t="str">
        <f>VLOOKUP($A40,Questions!$A$2:$X$333,2,0)</f>
        <v>Does your change management process minimally include authorization, impact analysis, testing, and validation before moving changes to production?</v>
      </c>
      <c r="C40" s="21" t="s">
        <v>40</v>
      </c>
      <c r="D40" s="320" t="s">
        <v>2125</v>
      </c>
      <c r="E40" s="167" t="str">
        <f>IF($C40='Auto Responses'!$J$3,VLOOKUP($A40,Questions!$A$2:$X$333,17,0)&amp;"",IF($C40='Auto Responses'!$J$4,VLOOKUP($A40,Questions!$A$2:$X$333,16,0)&amp;"",VLOOKUP($A40,Questions!$A$2:$X$333,15,0)&amp;""))</f>
        <v>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v>
      </c>
      <c r="F40" s="201" t="str">
        <f>VLOOKUP($A40,'Institution Evaluation'!$A$56:$F$345,6,0)&amp;""</f>
        <v/>
      </c>
      <c r="I40" s="35"/>
      <c r="J40" s="35"/>
    </row>
    <row r="41" spans="1:10" s="1" customFormat="1" ht="96.6" x14ac:dyDescent="0.25">
      <c r="A41" s="19" t="s">
        <v>288</v>
      </c>
      <c r="B41" s="18" t="str">
        <f>VLOOKUP($A41,Questions!$A$2:$X$333,2,0)</f>
        <v>Does your change management process verify that all required third-party libraries and dependencies are still supported with each major change?</v>
      </c>
      <c r="C41" s="21" t="s">
        <v>40</v>
      </c>
      <c r="D41" s="320" t="s">
        <v>2126</v>
      </c>
      <c r="E41" s="167" t="str">
        <f>IF($C41='Auto Responses'!$J$3,VLOOKUP($A41,Questions!$A$2:$X$333,17,0)&amp;"",IF($C41='Auto Responses'!$J$4,VLOOKUP($A41,Questions!$A$2:$X$333,16,0)&amp;"",VLOOKUP($A41,Questions!$A$2:$X$333,15,0)&amp;""))</f>
        <v>Please describe your program to track these dependencies.</v>
      </c>
      <c r="F41" s="201" t="str">
        <f>VLOOKUP($A41,'Institution Evaluation'!$A$56:$F$345,6,0)&amp;""</f>
        <v/>
      </c>
      <c r="I41" s="35"/>
      <c r="J41" s="35"/>
    </row>
    <row r="42" spans="1:10" s="1" customFormat="1" ht="142.80000000000001" customHeight="1" x14ac:dyDescent="0.25">
      <c r="A42" s="19" t="s">
        <v>292</v>
      </c>
      <c r="B42" s="18" t="str">
        <f>VLOOKUP($A42,Questions!$A$2:$X$333,2,0)</f>
        <v>Do you have policy and procedure, currently implemented, managing how critical patches are applied to all systems and applications?</v>
      </c>
      <c r="C42" s="21" t="s">
        <v>40</v>
      </c>
      <c r="D42" s="320" t="s">
        <v>2127</v>
      </c>
      <c r="E42" s="167" t="str">
        <f>IF($C42='Auto Responses'!$J$3,VLOOKUP($A42,Questions!$A$2:$X$333,17,0)&amp;"",IF($C42='Auto Responses'!$J$4,VLOOKUP($A42,Questions!$A$2:$X$333,16,0)&amp;"",VLOOKUP($A42,Questions!$A$2:$X$333,15,0)&amp;""))</f>
        <v>Summarize the policy and procedure(s) managing how critical patches are applied to systems and applications.</v>
      </c>
      <c r="F42" s="201" t="str">
        <f>VLOOKUP($A42,'Institution Evaluation'!$A$56:$F$345,6,0)&amp;""</f>
        <v/>
      </c>
      <c r="I42" s="35"/>
      <c r="J42" s="35"/>
    </row>
    <row r="43" spans="1:10" s="1" customFormat="1" ht="138" x14ac:dyDescent="0.25">
      <c r="A43" s="19" t="s">
        <v>296</v>
      </c>
      <c r="B43" s="18" t="str">
        <f>VLOOKUP($A43,Questions!$A$2:$X$333,2,0)</f>
        <v>Have you implemented policies and procedures that guide how security risks are mitigated until patches can be applied?</v>
      </c>
      <c r="C43" s="21" t="s">
        <v>40</v>
      </c>
      <c r="D43" s="320" t="s">
        <v>2128</v>
      </c>
      <c r="E43" s="167" t="str">
        <f>IF($C43='Auto Responses'!$J$3,VLOOKUP($A43,Questions!$A$2:$X$333,17,0)&amp;"",IF($C43='Auto Responses'!$J$4,VLOOKUP($A43,Questions!$A$2:$X$333,16,0)&amp;"",VLOOKUP($A43,Questions!$A$2:$X$333,15,0)&amp;""))</f>
        <v>Summarize the policy and procedure(s) guiding risk mitigation practices before critical patches can be applied.</v>
      </c>
      <c r="F43" s="201" t="str">
        <f>VLOOKUP($A43,'Institution Evaluation'!$A$56:$F$345,6,0)&amp;""</f>
        <v/>
      </c>
      <c r="I43" s="35"/>
      <c r="J43" s="35"/>
    </row>
    <row r="44" spans="1:10" s="1" customFormat="1" ht="138" x14ac:dyDescent="0.25">
      <c r="A44" s="19" t="s">
        <v>299</v>
      </c>
      <c r="B44" s="18" t="str">
        <f>VLOOKUP($A44,Questions!$A$2:$X$333,2,0)</f>
        <v>Do clients have the option to not participate in or postpone an upgrade to a new release?</v>
      </c>
      <c r="C44" s="21" t="s">
        <v>40</v>
      </c>
      <c r="D44" s="320" t="s">
        <v>2129</v>
      </c>
      <c r="E44" s="167" t="str">
        <f>IF($C44='Auto Responses'!$J$3,VLOOKUP($A44,Questions!$A$2:$X$333,17,0)&amp;"",IF($C44='Auto Responses'!$J$4,VLOOKUP($A44,Questions!$A$2:$X$333,16,0)&amp;"",IF($C44='Auto Responses'!$J$5,VLOOKUP($A44,Questions!$A$2:$X$333,18,0)&amp;"",VLOOKUP($A44,Questions!$A$2:$X$333,15,0)&amp;"")))</f>
        <v>Provide reference the  process/procedure to manage releases.</v>
      </c>
      <c r="F44" s="201" t="str">
        <f>VLOOKUP($A44,'Institution Evaluation'!$A$56:$F$345,6,0)&amp;""</f>
        <v/>
      </c>
      <c r="I44" s="35"/>
      <c r="J44" s="35"/>
    </row>
    <row r="45" spans="1:10" s="1" customFormat="1" ht="96.6" x14ac:dyDescent="0.25">
      <c r="A45" s="19" t="s">
        <v>302</v>
      </c>
      <c r="B45" s="18" t="str">
        <f>VLOOKUP($A45,Questions!$A$2:$X$333,2,0)</f>
        <v>Do you have a fully implemented solution support strategy that defines how many concurrent versions you support?</v>
      </c>
      <c r="C45" s="21" t="s">
        <v>40</v>
      </c>
      <c r="D45" s="320" t="s">
        <v>2130</v>
      </c>
      <c r="E45" s="167" t="str">
        <f>IF($C45='Auto Responses'!$J$3,VLOOKUP($A45,Questions!$A$2:$X$333,17,0)&amp;"",IF($C45='Auto Responses'!$J$4,VLOOKUP($A45,Questions!$A$2:$X$333,16,0)&amp;"",IF($C45='Auto Responses'!$J$5,VLOOKUP($A45,Questions!$A$2:$X$333,18,0)&amp;"",VLOOKUP($A45,Questions!$A$2:$X$333,15,0)&amp;"")))</f>
        <v>Describe or provide a reference to your solution support strategy in regard to maintaining software currency (i.e., how many concurrent versions are you willing to run and support?).</v>
      </c>
      <c r="F45" s="201" t="str">
        <f>VLOOKUP($A45,'Institution Evaluation'!$A$56:$F$345,6,0)&amp;""</f>
        <v/>
      </c>
      <c r="I45" s="35"/>
      <c r="J45" s="35"/>
    </row>
    <row r="46" spans="1:10" s="1" customFormat="1" ht="110.4" x14ac:dyDescent="0.25">
      <c r="A46" s="19" t="s">
        <v>304</v>
      </c>
      <c r="B46" s="18" t="str">
        <f>VLOOKUP($A46,Questions!$A$2:$X$333,2,0)</f>
        <v>Do you have a release schedule for product updates?</v>
      </c>
      <c r="C46" s="21" t="s">
        <v>40</v>
      </c>
      <c r="D46" s="320" t="s">
        <v>2131</v>
      </c>
      <c r="E46" s="167" t="str">
        <f>IF($C46='Auto Responses'!$J$3,VLOOKUP($A46,Questions!$A$2:$X$333,17,0)&amp;"",IF($C46='Auto Responses'!$J$4,VLOOKUP($A46,Questions!$A$2:$X$333,16,0)&amp;"",IF($C46='Auto Responses'!$J$5,VLOOKUP($A46,Questions!$A$2:$X$333,18,0)&amp;"",VLOOKUP($A46,Questions!$A$2:$X$333,15,0)&amp;"")))</f>
        <v>Provide a reference to this solution's release schedule.</v>
      </c>
      <c r="F46" s="201" t="str">
        <f>VLOOKUP($A46,'Institution Evaluation'!$A$56:$F$345,6,0)&amp;""</f>
        <v/>
      </c>
      <c r="I46" s="35"/>
      <c r="J46" s="35"/>
    </row>
    <row r="47" spans="1:10" s="1" customFormat="1" ht="110.4" x14ac:dyDescent="0.25">
      <c r="A47" s="19" t="s">
        <v>308</v>
      </c>
      <c r="B47" s="18" t="str">
        <f>VLOOKUP($A47,Questions!$A$2:$X$333,2,0)</f>
        <v>Do you have a technology roadmap, for at least the next two years, for enhancements and bug fixes for the solution being assessed?</v>
      </c>
      <c r="C47" s="21" t="s">
        <v>40</v>
      </c>
      <c r="D47" s="320" t="s">
        <v>2132</v>
      </c>
      <c r="E47" s="167" t="str">
        <f>IF($C47='Auto Responses'!$J$3,VLOOKUP($A47,Questions!$A$2:$X$333,17,0)&amp;"",IF($C47='Auto Responses'!$J$4,VLOOKUP($A47,Questions!$A$2:$X$333,16,0)&amp;"",IF($C47='Auto Responses'!$J$5,VLOOKUP($A47,Questions!$A$2:$X$333,18,0)&amp;"",VLOOKUP($A47,Questions!$A$2:$X$333,15,0)&amp;"")))</f>
        <v>Provide a reference to your technology roadmap.</v>
      </c>
      <c r="F47" s="201" t="str">
        <f>VLOOKUP($A47,'Institution Evaluation'!$A$56:$F$345,6,0)&amp;""</f>
        <v/>
      </c>
      <c r="I47" s="35"/>
      <c r="J47" s="35"/>
    </row>
    <row r="48" spans="1:10" s="1" customFormat="1" ht="138" x14ac:dyDescent="0.25">
      <c r="A48" s="19" t="s">
        <v>311</v>
      </c>
      <c r="B48" s="18" t="str">
        <f>VLOOKUP($A48,Questions!$A$2:$X$333,2,0)</f>
        <v>Can solution updates be completed without institutional involvement (i.e., technically or organizationally)?</v>
      </c>
      <c r="C48" s="21" t="s">
        <v>40</v>
      </c>
      <c r="D48" s="320" t="s">
        <v>2133</v>
      </c>
      <c r="E48" s="167" t="str">
        <f>IF($C48='Auto Responses'!$J$3,VLOOKUP($A48,Questions!$A$2:$X$333,17,0)&amp;"",IF($C48='Auto Responses'!$J$4,VLOOKUP($A48,Questions!$A$2:$X$333,16,0)&amp;"",VLOOKUP($A48,Questions!$A$2:$X$333,15,0)&amp;""))</f>
        <v/>
      </c>
      <c r="F48" s="201" t="str">
        <f>VLOOKUP($A48,'Institution Evaluation'!$A$56:$F$345,6,0)&amp;""</f>
        <v/>
      </c>
      <c r="I48" s="35"/>
      <c r="J48" s="35"/>
    </row>
    <row r="49" spans="1:10" s="1" customFormat="1" ht="124.2" x14ac:dyDescent="0.25">
      <c r="A49" s="19" t="s">
        <v>315</v>
      </c>
      <c r="B49" s="18" t="str">
        <f>VLOOKUP($A49,Questions!$A$2:$X$333,2,0)</f>
        <v>Are upgrades or system changes installed during off-peak hours or in a manner that does not impact the customer?</v>
      </c>
      <c r="C49" s="21" t="s">
        <v>40</v>
      </c>
      <c r="D49" s="320" t="s">
        <v>2134</v>
      </c>
      <c r="E49" s="167" t="str">
        <f>IF($C49='Auto Responses'!$J$3,VLOOKUP($A49,Questions!$A$2:$X$333,17,0)&amp;"",IF($C49='Auto Responses'!$J$4,VLOOKUP($A49,Questions!$A$2:$X$333,16,0)&amp;"",VLOOKUP($A49,Questions!$A$2:$X$333,15,0)&amp;""))</f>
        <v>Define current off-peak hours, including time zones as necessary.</v>
      </c>
      <c r="F49" s="201" t="str">
        <f>VLOOKUP($A49,'Institution Evaluation'!$A$56:$F$345,6,0)&amp;""</f>
        <v/>
      </c>
      <c r="I49" s="35"/>
      <c r="J49" s="35"/>
    </row>
    <row r="50" spans="1:10" s="1" customFormat="1" ht="179.4" x14ac:dyDescent="0.25">
      <c r="A50" s="19" t="s">
        <v>319</v>
      </c>
      <c r="B50" s="18" t="str">
        <f>VLOOKUP($A50,Questions!$A$2:$X$333,2,0)</f>
        <v>Do procedures exist to provide that emergency changes are documented and authorized (including after-the-fact approval)?</v>
      </c>
      <c r="C50" s="21" t="s">
        <v>40</v>
      </c>
      <c r="D50" s="320" t="s">
        <v>2136</v>
      </c>
      <c r="E50" s="167" t="str">
        <f>IF($C50='Auto Responses'!$J$3,VLOOKUP($A50,Questions!$A$2:$X$333,17,0)&amp;"",IF($C50='Auto Responses'!$J$4,VLOOKUP($A50,Questions!$A$2:$X$333,16,0)&amp;"",VLOOKUP($A50,Questions!$A$2:$X$333,15,0)&amp;""))</f>
        <v>Summarize implemented procedures ensuring that emergency changes are documented and authorized.</v>
      </c>
      <c r="F50" s="201" t="str">
        <f>VLOOKUP($A50,'Institution Evaluation'!$A$56:$F$345,6,0)&amp;""</f>
        <v/>
      </c>
      <c r="I50" s="35"/>
      <c r="J50" s="35"/>
    </row>
    <row r="51" spans="1:10" s="1" customFormat="1" ht="276.60000000000002" thickBot="1" x14ac:dyDescent="0.3">
      <c r="A51" s="19" t="s">
        <v>321</v>
      </c>
      <c r="B51" s="18" t="str">
        <f>VLOOKUP($A51,Questions!$A$2:$X$333,2,0)</f>
        <v>Do you have a systems management and configuration strategy that encompasses servers, appliances, cloud services, applications, and mobile devices (company and employee owned)?</v>
      </c>
      <c r="C51" s="21" t="s">
        <v>40</v>
      </c>
      <c r="D51" s="320" t="s">
        <v>2135</v>
      </c>
      <c r="E51" s="167" t="str">
        <f>IF($C51='Auto Responses'!$J$3,VLOOKUP($A51,Questions!$A$2:$X$333,17,0)&amp;"",IF($C51='Auto Responses'!$J$4,VLOOKUP($A51,Questions!$A$2:$X$333,16,0)&amp;"",VLOOKUP($A51,Questions!$A$2:$X$333,15,0)&amp;""))</f>
        <v>Summarize your systems management and configuration strategy.</v>
      </c>
      <c r="F51" s="201" t="str">
        <f>VLOOKUP($A51,'Institution Evaluation'!$A$56:$F$345,6,0)&amp;""</f>
        <v/>
      </c>
      <c r="G51" s="238" t="s">
        <v>1449</v>
      </c>
      <c r="I51" s="35"/>
      <c r="J51" s="35"/>
    </row>
    <row r="52" spans="1:10" s="1" customFormat="1" ht="37.35" customHeight="1" thickBot="1" x14ac:dyDescent="0.3">
      <c r="A52" s="63" t="str">
        <f>VLOOKUP(LEFT($A53,4),'Auto Responses'!$N$4:$O$38,2,0)&amp;""</f>
        <v xml:space="preserve"> Policies, Processes, and Procedures</v>
      </c>
      <c r="B52" s="22"/>
      <c r="C52" s="13" t="s">
        <v>1497</v>
      </c>
      <c r="D52" s="13" t="s">
        <v>72</v>
      </c>
      <c r="E52" s="31" t="s">
        <v>848</v>
      </c>
      <c r="F52" s="187" t="s">
        <v>849</v>
      </c>
      <c r="I52" s="35"/>
      <c r="J52" s="35"/>
    </row>
    <row r="53" spans="1:10" s="1" customFormat="1" ht="110.4" x14ac:dyDescent="0.25">
      <c r="A53" s="19" t="s">
        <v>503</v>
      </c>
      <c r="B53" s="18" t="str">
        <f>VLOOKUP($A53,Questions!$A$2:$X$333,2,0)</f>
        <v>Do you have a documented patch management process?*</v>
      </c>
      <c r="C53" s="21" t="s">
        <v>40</v>
      </c>
      <c r="D53" s="320" t="s">
        <v>2137</v>
      </c>
      <c r="E53" s="167" t="str">
        <f>IF($C53='Auto Responses'!$J$3,VLOOKUP($A53,Questions!$A$2:$X$333,17,0)&amp;"",IF($C53='Auto Responses'!$J$4,VLOOKUP($A53,Questions!$A$2:$X$333,16,0)&amp;"",VLOOKUP($A53,Questions!$A$2:$X$333,15,0)&amp;""))</f>
        <v/>
      </c>
      <c r="F53" s="201" t="str">
        <f>VLOOKUP($A53,'Institution Evaluation'!$A$56:$F$345,6,0)&amp;""</f>
        <v/>
      </c>
      <c r="I53" s="35"/>
      <c r="J53" s="35"/>
    </row>
    <row r="54" spans="1:10" s="1" customFormat="1" ht="110.4" x14ac:dyDescent="0.25">
      <c r="A54" s="19" t="s">
        <v>504</v>
      </c>
      <c r="B54" s="18" t="str">
        <f>VLOOKUP($A54,Questions!$A$2:$X$333,2,0)</f>
        <v>Can your organization comply with institutional policies on privacy and data protection with regard to users of institutional systems, if required?*</v>
      </c>
      <c r="C54" s="21" t="s">
        <v>40</v>
      </c>
      <c r="D54" s="320" t="s">
        <v>2138</v>
      </c>
      <c r="E54" s="167" t="str">
        <f>IF($C54='Auto Responses'!$J$3,VLOOKUP($A54,Questions!$A$2:$X$333,17,0)&amp;"",IF($C54='Auto Responses'!$J$4,VLOOKUP($A54,Questions!$A$2:$X$333,16,0)&amp;"",VLOOKUP($A54,Questions!$A$2:$X$333,15,0)&amp;""))</f>
        <v>State that you have reviewed the institution's IT policies with regards to user privacy and data protection.</v>
      </c>
      <c r="F54" s="201" t="str">
        <f>VLOOKUP($A54,'Institution Evaluation'!$A$56:$F$345,6,0)&amp;""</f>
        <v/>
      </c>
      <c r="I54" s="35"/>
      <c r="J54" s="35"/>
    </row>
    <row r="55" spans="1:10" s="1" customFormat="1" ht="124.2" x14ac:dyDescent="0.25">
      <c r="A55" s="19" t="s">
        <v>506</v>
      </c>
      <c r="B55" s="18" t="str">
        <f>VLOOKUP($A55,Questions!$A$2:$X$333,2,0)</f>
        <v>Is your company subject to the institution's geographic region's laws and regulations?*</v>
      </c>
      <c r="C55" s="21" t="s">
        <v>40</v>
      </c>
      <c r="D55" s="320" t="s">
        <v>2139</v>
      </c>
      <c r="E55" s="167" t="str">
        <f>IF($C55='Auto Responses'!$J$3,VLOOKUP($A55,Questions!$A$2:$X$333,17,0)&amp;"",IF($C55='Auto Responses'!$J$4,VLOOKUP($A55,Questions!$A$2:$X$333,16,0)&amp;"",VLOOKUP($A55,Questions!$A$2:$X$333,15,0)&amp;""))</f>
        <v>State the country that governs and regulates your company.</v>
      </c>
      <c r="F55" s="201" t="str">
        <f>VLOOKUP($A55,'Institution Evaluation'!$A$56:$F$345,6,0)&amp;""</f>
        <v/>
      </c>
      <c r="I55" s="35"/>
      <c r="J55" s="35"/>
    </row>
    <row r="56" spans="1:10" s="1" customFormat="1" ht="124.2" x14ac:dyDescent="0.25">
      <c r="A56" s="19" t="s">
        <v>510</v>
      </c>
      <c r="B56" s="18" t="str">
        <f>VLOOKUP($A56,Questions!$A$2:$X$333,2,0)</f>
        <v>Can you accommodate encryption requirements using open standards?</v>
      </c>
      <c r="C56" s="21" t="s">
        <v>40</v>
      </c>
      <c r="D56" s="320" t="s">
        <v>2140</v>
      </c>
      <c r="E56" s="167" t="str">
        <f>IF($C56='Auto Responses'!$J$3,VLOOKUP($A56,Questions!$A$2:$X$333,17,0)&amp;"",IF($C56='Auto Responses'!$J$4,VLOOKUP($A56,Questions!$A$2:$X$333,16,0)&amp;"",VLOOKUP($A56,Questions!$A$2:$X$333,15,0)&amp;""))</f>
        <v/>
      </c>
      <c r="F56" s="201" t="str">
        <f>VLOOKUP($A56,'Institution Evaluation'!$A$56:$F$345,6,0)&amp;""</f>
        <v/>
      </c>
      <c r="I56" s="35"/>
      <c r="J56" s="35"/>
    </row>
    <row r="57" spans="1:10" s="1" customFormat="1" ht="110.4" x14ac:dyDescent="0.25">
      <c r="A57" s="19" t="s">
        <v>514</v>
      </c>
      <c r="B57" s="18" t="str">
        <f>VLOOKUP($A57,Questions!$A$2:$X$333,2,0)</f>
        <v>Do you have a documented systems development life cycle (SDLC)?</v>
      </c>
      <c r="C57" s="21" t="s">
        <v>40</v>
      </c>
      <c r="D57" s="320" t="s">
        <v>2141</v>
      </c>
      <c r="E57" s="167" t="str">
        <f>IF($C57='Auto Responses'!$J$3,VLOOKUP($A57,Questions!$A$2:$X$333,17,0)&amp;"",IF($C57='Auto Responses'!$J$4,VLOOKUP($A57,Questions!$A$2:$X$333,16,0)&amp;"",VLOOKUP($A57,Questions!$A$2:$X$333,15,0)&amp;""))</f>
        <v>Briefly summarize your SDLC or provide a link or attachment.</v>
      </c>
      <c r="F57" s="201" t="str">
        <f>VLOOKUP($A57,'Institution Evaluation'!$A$56:$F$345,6,0)&amp;""</f>
        <v/>
      </c>
      <c r="I57" s="35"/>
      <c r="J57" s="35"/>
    </row>
    <row r="58" spans="1:10" s="1" customFormat="1" ht="124.2" x14ac:dyDescent="0.25">
      <c r="A58" s="19" t="s">
        <v>517</v>
      </c>
      <c r="B58" s="18" t="str">
        <f>VLOOKUP($A58,Questions!$A$2:$X$333,2,0)</f>
        <v>Do you perform background screenings or multi-state background checks on all employees prior to their first day of work?</v>
      </c>
      <c r="C58" s="21" t="s">
        <v>40</v>
      </c>
      <c r="D58" s="320" t="s">
        <v>2142</v>
      </c>
      <c r="E58" s="167" t="str">
        <f>IF($C58='Auto Responses'!$J$3,VLOOKUP($A58,Questions!$A$2:$X$333,17,0)&amp;"",IF($C58='Auto Responses'!$J$4,VLOOKUP($A58,Questions!$A$2:$X$333,16,0)&amp;"",VLOOKUP($A58,Questions!$A$2:$X$333,15,0)&amp;""))</f>
        <v>Summarize your background check practices.</v>
      </c>
      <c r="F58" s="201" t="str">
        <f>VLOOKUP($A58,'Institution Evaluation'!$A$56:$F$345,6,0)&amp;""</f>
        <v/>
      </c>
      <c r="I58" s="35"/>
      <c r="J58" s="35"/>
    </row>
    <row r="59" spans="1:10" s="1" customFormat="1" ht="124.2" x14ac:dyDescent="0.25">
      <c r="A59" s="19" t="s">
        <v>520</v>
      </c>
      <c r="B59" s="18" t="str">
        <f>VLOOKUP($A59,Questions!$A$2:$X$333,2,0)</f>
        <v>Do you require new employees to fill out agreements and review policies?</v>
      </c>
      <c r="C59" s="21" t="s">
        <v>40</v>
      </c>
      <c r="D59" s="320" t="s">
        <v>2143</v>
      </c>
      <c r="E59" s="167" t="str">
        <f>IF($C59='Auto Responses'!$J$3,VLOOKUP($A59,Questions!$A$2:$X$333,17,0)&amp;"",IF($C59='Auto Responses'!$J$4,VLOOKUP($A59,Questions!$A$2:$X$333,16,0)&amp;"",VLOOKUP($A59,Questions!$A$2:$X$333,15,0)&amp;""))</f>
        <v>Summarize the required agreements and reviewed policies.</v>
      </c>
      <c r="F59" s="201" t="str">
        <f>VLOOKUP($A59,'Institution Evaluation'!$A$56:$F$345,6,0)&amp;""</f>
        <v/>
      </c>
      <c r="I59" s="35"/>
      <c r="J59" s="35"/>
    </row>
    <row r="60" spans="1:10" s="1" customFormat="1" ht="151.80000000000001" x14ac:dyDescent="0.25">
      <c r="A60" s="19" t="s">
        <v>522</v>
      </c>
      <c r="B60" s="18" t="str">
        <f>VLOOKUP($A60,Questions!$A$2:$X$333,2,0)</f>
        <v>Do you have a documented information security policy?</v>
      </c>
      <c r="C60" s="21" t="s">
        <v>40</v>
      </c>
      <c r="D60" s="320" t="s">
        <v>2144</v>
      </c>
      <c r="E60" s="167" t="str">
        <f>IF($C60='Auto Responses'!$J$3,VLOOKUP($A60,Questions!$A$2:$X$333,17,0)&amp;"",IF($C60='Auto Responses'!$J$4,VLOOKUP($A60,Questions!$A$2:$X$333,16,0)&amp;"",VLOOKUP($A60,Questions!$A$2:$X$333,15,0)&amp;""))</f>
        <v>Provide a reference to your information security policy or submit documentation with this fully populated HECVAT.</v>
      </c>
      <c r="F60" s="201" t="str">
        <f>VLOOKUP($A60,'Institution Evaluation'!$A$56:$F$345,6,0)&amp;""</f>
        <v/>
      </c>
      <c r="I60" s="35"/>
      <c r="J60" s="35"/>
    </row>
    <row r="61" spans="1:10" s="1" customFormat="1" ht="138" x14ac:dyDescent="0.25">
      <c r="A61" s="19" t="s">
        <v>526</v>
      </c>
      <c r="B61" s="18" t="str">
        <f>VLOOKUP($A61,Questions!$A$2:$X$333,2,0)</f>
        <v>Are information security principles designed into the product lifecycle?</v>
      </c>
      <c r="C61" s="21" t="s">
        <v>40</v>
      </c>
      <c r="D61" s="320" t="s">
        <v>2145</v>
      </c>
      <c r="E61" s="167" t="str">
        <f>IF($C61='Auto Responses'!$J$3,VLOOKUP($A61,Questions!$A$2:$X$333,17,0)&amp;"",IF($C61='Auto Responses'!$J$4,VLOOKUP($A61,Questions!$A$2:$X$333,16,0)&amp;"",VLOOKUP($A61,Questions!$A$2:$X$333,15,0)&amp;""))</f>
        <v>Summarize the information security principles designed into the product lifecycle.</v>
      </c>
      <c r="F61" s="201" t="str">
        <f>VLOOKUP($A61,'Institution Evaluation'!$A$56:$F$345,6,0)&amp;""</f>
        <v/>
      </c>
      <c r="I61" s="35"/>
      <c r="J61" s="35"/>
    </row>
    <row r="62" spans="1:10" s="1" customFormat="1" ht="138" x14ac:dyDescent="0.25">
      <c r="A62" s="19" t="s">
        <v>531</v>
      </c>
      <c r="B62" s="18" t="str">
        <f>VLOOKUP($A62,Questions!$A$2:$X$333,2,0)</f>
        <v>Will you comply with applicable breach notification laws?</v>
      </c>
      <c r="C62" s="21" t="s">
        <v>40</v>
      </c>
      <c r="D62" s="320" t="s">
        <v>2146</v>
      </c>
      <c r="E62" s="167" t="str">
        <f>IF($C62='Auto Responses'!$J$3,VLOOKUP($A62,Questions!$A$2:$X$333,17,0)&amp;"",IF($C62='Auto Responses'!$J$4,VLOOKUP($A62,Questions!$A$2:$X$333,16,0)&amp;"",VLOOKUP($A62,Questions!$A$2:$X$333,15,0)&amp;""))</f>
        <v>State how quickly the institution will be notified of a data breach or security incident.</v>
      </c>
      <c r="F62" s="201" t="str">
        <f>VLOOKUP($A62,'Institution Evaluation'!$A$56:$F$345,6,0)&amp;""</f>
        <v/>
      </c>
      <c r="I62" s="35"/>
      <c r="J62" s="35"/>
    </row>
    <row r="63" spans="1:10" s="1" customFormat="1" ht="124.2" x14ac:dyDescent="0.25">
      <c r="A63" s="19" t="s">
        <v>535</v>
      </c>
      <c r="B63" s="18" t="str">
        <f>VLOOKUP($A63,Questions!$A$2:$X$333,2,0)</f>
        <v>Do you have an information security awareness program?</v>
      </c>
      <c r="C63" s="21" t="s">
        <v>40</v>
      </c>
      <c r="D63" s="320" t="s">
        <v>2148</v>
      </c>
      <c r="E63" s="167" t="str">
        <f>IF($C63='Auto Responses'!$J$3,VLOOKUP($A63,Questions!$A$2:$X$333,17,0)&amp;"",IF($C63='Auto Responses'!$J$4,VLOOKUP($A63,Questions!$A$2:$X$333,16,0)&amp;"",VLOOKUP($A63,Questions!$A$2:$X$333,15,0)&amp;""))</f>
        <v>Summarize your information security awareness program.</v>
      </c>
      <c r="F63" s="201" t="str">
        <f>VLOOKUP($A63,'Institution Evaluation'!$A$56:$F$345,6,0)&amp;""</f>
        <v/>
      </c>
      <c r="I63" s="35"/>
      <c r="J63" s="35"/>
    </row>
    <row r="64" spans="1:10" s="1" customFormat="1" ht="69" x14ac:dyDescent="0.25">
      <c r="A64" s="19" t="s">
        <v>540</v>
      </c>
      <c r="B64" s="18" t="str">
        <f>VLOOKUP($A64,Questions!$A$2:$X$333,2,0)</f>
        <v>Is security awareness training mandatory for all employees?</v>
      </c>
      <c r="C64" s="21" t="s">
        <v>40</v>
      </c>
      <c r="D64" s="320" t="s">
        <v>2147</v>
      </c>
      <c r="E64" s="167" t="str">
        <f>IF($C64='Auto Responses'!$J$3,VLOOKUP($A64,Questions!$A$2:$X$333,17,0)&amp;"",IF($C64='Auto Responses'!$J$4,VLOOKUP($A64,Questions!$A$2:$X$333,16,0)&amp;"",VLOOKUP($A64,Questions!$A$2:$X$333,15,0)&amp;""))</f>
        <v>Summarize your security awareness training content and state how frequently employees are required to undergo security awareness training.</v>
      </c>
      <c r="F64" s="201" t="str">
        <f>VLOOKUP($A64,'Institution Evaluation'!$A$56:$F$345,6,0)&amp;""</f>
        <v/>
      </c>
      <c r="I64" s="35"/>
      <c r="J64" s="35"/>
    </row>
    <row r="65" spans="1:10" s="1" customFormat="1" ht="151.80000000000001" x14ac:dyDescent="0.25">
      <c r="A65" s="19" t="s">
        <v>544</v>
      </c>
      <c r="B65" s="18" t="str">
        <f>VLOOKUP($A65,Questions!$A$2:$X$333,2,0)</f>
        <v>Do you have process and procedure(s) documented, and currently followed, that require a review and update of the access list(s) for privileged accounts?</v>
      </c>
      <c r="C65" s="21" t="s">
        <v>40</v>
      </c>
      <c r="D65" s="320" t="s">
        <v>2149</v>
      </c>
      <c r="E65" s="167" t="str">
        <f>IF($C65='Auto Responses'!$J$3,VLOOKUP($A65,Questions!$A$2:$X$333,17,0)&amp;"",IF($C65='Auto Responses'!$J$4,VLOOKUP($A65,Questions!$A$2:$X$333,16,0)&amp;"",VLOOKUP($A65,Questions!$A$2:$X$333,15,0)&amp;""))</f>
        <v>Provide a brief summary and the implement review interval.</v>
      </c>
      <c r="F65" s="201" t="str">
        <f>VLOOKUP($A65,'Institution Evaluation'!$A$56:$F$345,6,0)&amp;""</f>
        <v/>
      </c>
      <c r="I65" s="35"/>
      <c r="J65" s="35"/>
    </row>
    <row r="66" spans="1:10" s="1" customFormat="1" ht="133.80000000000001" customHeight="1" x14ac:dyDescent="0.25">
      <c r="A66" s="19" t="s">
        <v>548</v>
      </c>
      <c r="B66" s="18" t="str">
        <f>VLOOKUP($A66,Questions!$A$2:$X$333,2,0)</f>
        <v>Do you have documented, and currently implemented, internal audit processes and procedures?</v>
      </c>
      <c r="C66" s="21" t="s">
        <v>40</v>
      </c>
      <c r="D66" s="368" t="s">
        <v>2152</v>
      </c>
      <c r="E66" s="167" t="str">
        <f>IF($C66='Auto Responses'!$J$3,VLOOKUP($A66,Questions!$A$2:$X$333,17,0)&amp;"",IF($C66='Auto Responses'!$J$4,VLOOKUP($A66,Questions!$A$2:$X$333,16,0)&amp;"",VLOOKUP($A66,Questions!$A$2:$X$333,15,0)&amp;""))</f>
        <v>Summarize your internal audit processes and procedures.</v>
      </c>
      <c r="F66" s="201" t="str">
        <f>VLOOKUP($A66,'Institution Evaluation'!$A$56:$F$345,6,0)&amp;""</f>
        <v/>
      </c>
      <c r="I66" s="35"/>
      <c r="J66" s="35"/>
    </row>
    <row r="67" spans="1:10" s="1" customFormat="1" ht="153.6" customHeight="1" x14ac:dyDescent="0.25">
      <c r="A67" s="19" t="s">
        <v>553</v>
      </c>
      <c r="B67" s="18" t="str">
        <f>VLOOKUP($A67,Questions!$A$2:$X$333,2,0)</f>
        <v>Does your organization have physical security controls and policies in place?</v>
      </c>
      <c r="C67" s="21" t="s">
        <v>1527</v>
      </c>
      <c r="D67" s="320" t="s">
        <v>2151</v>
      </c>
      <c r="E67" s="167" t="str">
        <f>IF($C67='Auto Responses'!$J$3,VLOOKUP($A67,Questions!$A$2:$X$333,17,0)&amp;"",IF($C67='Auto Responses'!$J$4,VLOOKUP($A67,Questions!$A$2:$X$333,16,0)&amp;"",IF($C67='Auto Responses'!$J$5,VLOOKUP($A67,Questions!$A$2:$X$333,18,0)&amp;"",VLOOKUP($A67,Questions!$A$2:$X$333,15,0)&amp;"")))</f>
        <v>Please explain why this does not apply to your organization, product or service.</v>
      </c>
      <c r="F67" s="201" t="str">
        <f>VLOOKUP($A67,'Institution Evaluation'!$A$56:$F$345,6,0)&amp;""</f>
        <v/>
      </c>
      <c r="G67" s="238" t="s">
        <v>1449</v>
      </c>
      <c r="H67" s="35"/>
    </row>
    <row r="68" spans="1:10" s="171" customFormat="1" ht="39" customHeight="1" x14ac:dyDescent="0.25">
      <c r="A68" s="267" t="s">
        <v>1507</v>
      </c>
      <c r="B68" s="253"/>
      <c r="C68" s="254"/>
      <c r="D68" s="321"/>
      <c r="E68" s="256"/>
      <c r="F68" s="257"/>
      <c r="G68" s="258"/>
      <c r="H68" s="172"/>
    </row>
    <row r="69" spans="1:10" s="1" customFormat="1" ht="15" customHeight="1" x14ac:dyDescent="0.25">
      <c r="A69" s="266"/>
      <c r="C69" s="8"/>
      <c r="D69" s="9"/>
      <c r="E69" s="10"/>
      <c r="I69" s="35"/>
      <c r="J69" s="35"/>
    </row>
    <row r="70" spans="1:10" s="1" customFormat="1" ht="15" hidden="1" customHeight="1" x14ac:dyDescent="0.25">
      <c r="A70"/>
      <c r="C70" s="8"/>
      <c r="D70" s="9"/>
      <c r="E70" s="10"/>
      <c r="I70" s="35"/>
      <c r="J70" s="35"/>
    </row>
    <row r="71" spans="1:10" ht="57" hidden="1" customHeight="1" x14ac:dyDescent="0.25">
      <c r="A71" s="19" t="e">
        <f>#REF!</f>
        <v>#REF!</v>
      </c>
    </row>
    <row r="72" spans="1:10" ht="42.75" hidden="1" customHeight="1" x14ac:dyDescent="0.25">
      <c r="A72" s="19" t="e">
        <f>#REF!</f>
        <v>#REF!</v>
      </c>
    </row>
    <row r="73" spans="1:10" ht="15" hidden="1" customHeight="1" x14ac:dyDescent="0.25">
      <c r="A73" s="19" t="e">
        <f>#REF!</f>
        <v>#REF!</v>
      </c>
    </row>
    <row r="74" spans="1:10" ht="15" hidden="1" customHeight="1" x14ac:dyDescent="0.25">
      <c r="A74" s="19" t="e">
        <f>#REF!</f>
        <v>#REF!</v>
      </c>
    </row>
    <row r="75" spans="1:10" ht="15" hidden="1" customHeight="1" x14ac:dyDescent="0.25">
      <c r="A75" s="19" t="e">
        <f>#REF!</f>
        <v>#REF!</v>
      </c>
    </row>
    <row r="76" spans="1:10" ht="15" hidden="1" customHeight="1" x14ac:dyDescent="0.25">
      <c r="A76" s="19" t="e">
        <f>#REF!</f>
        <v>#REF!</v>
      </c>
    </row>
    <row r="77" spans="1:10" ht="15" hidden="1" customHeight="1" x14ac:dyDescent="0.25">
      <c r="A77" s="19" t="e">
        <f>#REF!</f>
        <v>#REF!</v>
      </c>
    </row>
    <row r="78" spans="1:10" ht="15" hidden="1" customHeight="1" x14ac:dyDescent="0.25"/>
    <row r="79" spans="1:10" ht="15" hidden="1" customHeight="1" x14ac:dyDescent="0.25"/>
    <row r="80" spans="1:1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sheetData>
  <phoneticPr fontId="31" type="noConversion"/>
  <dataValidations count="2">
    <dataValidation allowBlank="1" showInputMessage="1" showErrorMessage="1" promptTitle="Warning!" prompt="The HECVAT is built using a number of complex formulas. Editing this cell can break the functionality of the tool. " sqref="C2:F2 C52:D52 A3:A68 C21 D21:D29 C5:F12 D3:F3 B2:B68 C29 C35:D35 E21:F67 D36" xr:uid="{13D91724-4745-4549-9EE6-E1961B3DF999}"/>
    <dataValidation allowBlank="1" showInputMessage="1" showErrorMessage="1" prompt="This answer has been populated from the &quot;START HERE&quot; tab and does not need to be re-entered." sqref="C3 C13:C20" xr:uid="{5903BFA5-5357-4C55-8B96-E1E288DBA5B1}"/>
  </dataValidations>
  <hyperlinks>
    <hyperlink ref="A11" r:id="rId1" display="http://www.educause.edu/HECVAT" xr:uid="{5A6938A9-739E-4A03-A861-C791D26D0356}"/>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BB38F01-8950-47A1-A9D6-AA20F3133A43}">
          <x14:formula1>
            <xm:f>'Auto Responses'!$J$3:$J$4</xm:f>
          </x14:formula1>
          <xm:sqref>C68 C36 C34 C22:C28 C53:C66 C39:C43 C48:C51</xm:sqref>
        </x14:dataValidation>
        <x14:dataValidation type="list" allowBlank="1" showInputMessage="1" showErrorMessage="1" xr:uid="{12770314-EF29-47D1-BA99-D96AA2142FEA}">
          <x14:formula1>
            <xm:f>'Auto Responses'!$J$3:$J$5</xm:f>
          </x14:formula1>
          <xm:sqref>C30:C33 C37:C38 C67 C44:C47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9F7D6-4E37-409B-A8D9-E830FAA14D4D}">
  <sheetPr>
    <tabColor rgb="FF00636C"/>
  </sheetPr>
  <dimension ref="A1:L85"/>
  <sheetViews>
    <sheetView showGridLines="0" showZeros="0" topLeftCell="A59" zoomScale="80" zoomScaleNormal="80" workbookViewId="0">
      <selection activeCell="B56" sqref="B56"/>
    </sheetView>
  </sheetViews>
  <sheetFormatPr defaultColWidth="0" defaultRowHeight="0" customHeight="1" zeroHeight="1" x14ac:dyDescent="0.25"/>
  <cols>
    <col min="1" max="1" width="8.3046875" customWidth="1"/>
    <col min="2" max="2" width="55.07421875" style="1" customWidth="1"/>
    <col min="3" max="3" width="18.921875" style="8" customWidth="1"/>
    <col min="4" max="4" width="55.69140625" style="9" customWidth="1"/>
    <col min="5" max="5" width="32" style="10" customWidth="1"/>
    <col min="6" max="6" width="30.69140625" style="1" customWidth="1"/>
    <col min="7" max="7" width="18.07421875" style="1" customWidth="1"/>
    <col min="8" max="8" width="18.07421875" style="1" hidden="1" customWidth="1"/>
    <col min="9" max="10" width="18.07421875" style="35" hidden="1" customWidth="1"/>
    <col min="11" max="11" width="4.4609375" style="1" hidden="1" customWidth="1"/>
    <col min="12" max="12" width="6.61328125" style="1" hidden="1" customWidth="1"/>
    <col min="13" max="16384" width="6.61328125" hidden="1"/>
  </cols>
  <sheetData>
    <row r="1" spans="1:10" ht="0" hidden="1" customHeight="1" x14ac:dyDescent="0.25">
      <c r="A1" t="s">
        <v>1448</v>
      </c>
    </row>
    <row r="2" spans="1:10" ht="36" customHeight="1" x14ac:dyDescent="0.25">
      <c r="A2" s="168" t="s">
        <v>1376</v>
      </c>
      <c r="B2" s="168"/>
      <c r="C2" s="169"/>
      <c r="D2" s="308"/>
      <c r="E2" s="170"/>
      <c r="F2" s="170" t="str">
        <f>'Auto Responses'!$A$36</f>
        <v>Version 4.1.5</v>
      </c>
      <c r="J2" s="1"/>
    </row>
    <row r="3" spans="1:10" s="1" customFormat="1" ht="29.1" customHeight="1" x14ac:dyDescent="0.25">
      <c r="A3" s="37" t="s">
        <v>940</v>
      </c>
      <c r="B3" s="38"/>
      <c r="C3" s="66">
        <f>'START HERE'!$C$3</f>
        <v>0</v>
      </c>
      <c r="D3" s="309"/>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10"/>
      <c r="E5" s="16"/>
      <c r="F5" s="16"/>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10"/>
      <c r="E6" s="16"/>
      <c r="F6" s="16"/>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10"/>
      <c r="E7" s="16"/>
      <c r="F7" s="16"/>
      <c r="I7" s="35"/>
    </row>
    <row r="8" spans="1:10" s="1" customFormat="1" ht="19.5" customHeight="1" x14ac:dyDescent="0.25">
      <c r="A8" s="42" t="str">
        <f>HLOOKUP($A$4,'Auto Responses'!$D$2:$D$8,5,0)&amp;""</f>
        <v>4. DO NOT complete any fields in the "Evaluation" sheets or the "Analyst Notes" column.</v>
      </c>
      <c r="B8" s="16"/>
      <c r="C8" s="67"/>
      <c r="D8" s="310"/>
      <c r="E8" s="16"/>
      <c r="F8" s="16"/>
      <c r="I8" s="35"/>
    </row>
    <row r="9" spans="1:10" s="1" customFormat="1" ht="19.5" customHeight="1" x14ac:dyDescent="0.25">
      <c r="A9" s="42" t="str">
        <f>HLOOKUP($A$4,'Auto Responses'!$D$2:$D$8,6,0)&amp;""</f>
        <v>5. Return the completed file to institutions.</v>
      </c>
      <c r="B9" s="16"/>
      <c r="C9" s="67"/>
      <c r="D9" s="310"/>
      <c r="E9" s="16"/>
      <c r="F9" s="16"/>
      <c r="I9" s="35"/>
    </row>
    <row r="10" spans="1:10" s="1" customFormat="1" ht="19.5" customHeight="1" x14ac:dyDescent="0.25">
      <c r="A10" s="247" t="str">
        <f>HLOOKUP($A$4,'Auto Responses'!$D$2:$D$8,7,0)&amp;""</f>
        <v>* Denotes critical questions. Critical questions are those deemed most important to institutions by higher education volunteers.</v>
      </c>
      <c r="B10" s="16"/>
      <c r="C10" s="67"/>
      <c r="D10" s="310"/>
      <c r="E10" s="16"/>
      <c r="F10" s="16"/>
      <c r="I10" s="35"/>
    </row>
    <row r="11" spans="1:10" s="1" customFormat="1" ht="19.5" customHeight="1" x14ac:dyDescent="0.25">
      <c r="A11" s="246" t="str">
        <f>HLOOKUP($A$4,'Auto Responses'!$D$2:$D$9,8,0)&amp;""</f>
        <v>For full instructions, please visit educause.edu/HECVAT</v>
      </c>
      <c r="B11" s="16"/>
      <c r="C11" s="67"/>
      <c r="D11" s="310"/>
      <c r="E11" s="16"/>
      <c r="F11" s="16"/>
      <c r="I11" s="35"/>
    </row>
    <row r="12" spans="1:10" s="1" customFormat="1" ht="36" customHeight="1" x14ac:dyDescent="0.25">
      <c r="A12" s="63" t="str">
        <f>VLOOKUP(LEFT($A13,4),'Auto Responses'!$N$4:$O$38,2,0)&amp;""</f>
        <v xml:space="preserve"> General Information</v>
      </c>
      <c r="B12" s="12"/>
      <c r="C12" s="13" t="s">
        <v>1497</v>
      </c>
      <c r="D12" s="311"/>
      <c r="E12" s="17"/>
      <c r="F12" s="17"/>
      <c r="I12" s="35"/>
      <c r="J12" s="35"/>
    </row>
    <row r="13" spans="1:10" s="1" customFormat="1" ht="22.35" customHeight="1" x14ac:dyDescent="0.25">
      <c r="A13" s="19" t="s">
        <v>21</v>
      </c>
      <c r="B13" s="20" t="str">
        <f>VLOOKUP($A13,Questions!$A$2:$X$333,2,0)&amp;""</f>
        <v>Solution Provider Name</v>
      </c>
      <c r="C13" s="76" t="str">
        <f>VLOOKUP($A13,'START HERE'!$A$13:$C$21,3,0)&amp;""</f>
        <v>Cursive Technology Inc</v>
      </c>
      <c r="D13" s="32"/>
      <c r="E13" s="32"/>
      <c r="F13" s="50"/>
      <c r="I13" s="35"/>
      <c r="J13" s="35"/>
    </row>
    <row r="14" spans="1:10" s="1" customFormat="1" ht="22.35" customHeight="1" x14ac:dyDescent="0.25">
      <c r="A14" s="19" t="s">
        <v>24</v>
      </c>
      <c r="B14" s="20" t="str">
        <f>VLOOKUP($A14,Questions!$A$2:$X$333,2,0)&amp;""</f>
        <v>Solution Name</v>
      </c>
      <c r="C14" s="76" t="str">
        <f>VLOOKUP($A14,'START HERE'!$A$13:$C$21,3,0)&amp;""</f>
        <v>TypeID</v>
      </c>
      <c r="D14" s="32"/>
      <c r="E14" s="32"/>
      <c r="F14" s="50"/>
      <c r="I14" s="35"/>
      <c r="J14" s="35"/>
    </row>
    <row r="15" spans="1:10" s="1" customFormat="1" ht="22.35" customHeight="1" x14ac:dyDescent="0.25">
      <c r="A15" s="19" t="s">
        <v>25</v>
      </c>
      <c r="B15" s="20" t="str">
        <f>VLOOKUP($A15,Questions!$A$2:$X$333,2,0)&amp;""</f>
        <v>Solution Description</v>
      </c>
      <c r="C15" s="76" t="str">
        <f>VLOOKUP($A15,'START HERE'!$A$13:$C$21,3,0)&amp;""</f>
        <v>Continuous authorship verification and writing analytics using typing biometrics. Native Moodle plugin, browser extension for any LMS, WordPress-based authorship report and verification system.</v>
      </c>
      <c r="D15" s="32"/>
      <c r="E15" s="32"/>
      <c r="F15" s="50"/>
      <c r="I15" s="35"/>
      <c r="J15" s="35"/>
    </row>
    <row r="16" spans="1:10" s="1" customFormat="1" ht="22.35" customHeight="1" thickBot="1" x14ac:dyDescent="0.3">
      <c r="A16" s="19" t="s">
        <v>30</v>
      </c>
      <c r="B16" s="20" t="str">
        <f>VLOOKUP($A16,Questions!$A$2:$X$333,2,0)&amp;""</f>
        <v>Country of Company Headquarters</v>
      </c>
      <c r="C16" s="76" t="str">
        <f>VLOOKUP($A16,'START HERE'!$A$13:$C$21,3,0)&amp;""</f>
        <v>USA</v>
      </c>
      <c r="D16" s="32"/>
      <c r="E16" s="32"/>
      <c r="F16" s="50"/>
      <c r="I16" s="35"/>
      <c r="J16" s="35"/>
    </row>
    <row r="17" spans="1:10" s="1" customFormat="1" ht="37.35" customHeight="1" thickBot="1" x14ac:dyDescent="0.3">
      <c r="A17" s="63" t="str">
        <f>VLOOKUP(LEFT($A18,4),'Auto Responses'!$N$4:$O$38,2,0)&amp;""</f>
        <v xml:space="preserve"> Required Questions</v>
      </c>
      <c r="B17" s="22"/>
      <c r="C17" s="13" t="s">
        <v>1497</v>
      </c>
      <c r="D17" s="13"/>
      <c r="E17" s="31" t="s">
        <v>848</v>
      </c>
      <c r="F17" s="187" t="s">
        <v>849</v>
      </c>
      <c r="I17" s="35"/>
      <c r="J17" s="35"/>
    </row>
    <row r="18" spans="1:10" s="1" customFormat="1" ht="28.2" thickBot="1" x14ac:dyDescent="0.3">
      <c r="A18" s="19" t="s">
        <v>48</v>
      </c>
      <c r="B18" s="18" t="str">
        <f>VLOOKUP($A18,Questions!$A$2:$X$333,2,0)</f>
        <v>Are you offering a cloud-based product?</v>
      </c>
      <c r="C18" s="72" t="str">
        <f>VLOOKUP($A18,'START HERE'!$A$23:$F$36,3,0)&amp;""</f>
        <v>Yes</v>
      </c>
      <c r="D18" s="312" t="str">
        <f>VLOOKUP($A18,'START HERE'!$A$23:$F$36,4,0)&amp;""</f>
        <v/>
      </c>
      <c r="E18" s="167" t="str">
        <f>IF($C18='Auto Responses'!$J$3,VLOOKUP($A18,Questions!$A$2:$X$333,17,0)&amp;"",IF($C18='Auto Responses'!$J$4,VLOOKUP($A18,Questions!$A$2:$X$333,16,0)&amp;"",VLOOKUP($A18,Questions!$A$2:$X$333,15,0)&amp;""))</f>
        <v>DO complete the Product and Infrastructure worksheets</v>
      </c>
      <c r="F18" s="201" t="str">
        <f>VLOOKUP($A18,'Institution Evaluation'!$A$56:$F$345,6,0)&amp;""</f>
        <v/>
      </c>
      <c r="G18" s="238" t="s">
        <v>1449</v>
      </c>
      <c r="I18" s="35"/>
      <c r="J18" s="35"/>
    </row>
    <row r="19" spans="1:10" s="1" customFormat="1" ht="37.35" customHeight="1" thickBot="1" x14ac:dyDescent="0.3">
      <c r="A19" s="63" t="str">
        <f>VLOOKUP(LEFT($A20,4),'Auto Responses'!$N$4:$O$38,2,0)&amp;""</f>
        <v xml:space="preserve"> Authentication, Authorization, and Account Management</v>
      </c>
      <c r="B19" s="22"/>
      <c r="C19" s="13" t="s">
        <v>1497</v>
      </c>
      <c r="D19" s="13" t="s">
        <v>72</v>
      </c>
      <c r="E19" s="31" t="s">
        <v>848</v>
      </c>
      <c r="F19" s="187" t="s">
        <v>849</v>
      </c>
      <c r="I19" s="35"/>
      <c r="J19" s="35"/>
    </row>
    <row r="20" spans="1:10" s="1" customFormat="1" ht="110.4" x14ac:dyDescent="0.25">
      <c r="A20" s="19" t="s">
        <v>216</v>
      </c>
      <c r="B20" s="18" t="str">
        <f>VLOOKUP($A20,Questions!$A$2:$X$333,2,0)</f>
        <v>Does your solution support single sign-on (SSO) protocols for user and administrator authentication?*</v>
      </c>
      <c r="C20" s="21" t="s">
        <v>40</v>
      </c>
      <c r="D20" s="313" t="s">
        <v>2076</v>
      </c>
      <c r="E20" s="167" t="str">
        <f>IF($C$18='Auto Responses'!$J$4,'Auto Responses'!$A$3,IF($C20='Auto Responses'!$J$3,VLOOKUP($A20,Questions!$A$2:$X$333,17,0)&amp;"",IF($C20='Auto Responses'!$J$4,VLOOKUP($A20,Questions!$A$2:$X$333,16,0)&amp;"",VLOOKUP($A20,Questions!$A$2:$X$333,15,0)&amp;"")))</f>
        <v>Describe how strong authentication is enforced (e.g., complex passwords, multifactor tokens, certificates, biometrics, aging requirements, re-use policy).</v>
      </c>
      <c r="F20" s="201" t="str">
        <f>VLOOKUP($A20,'Institution Evaluation'!$A$56:$F$345,6,0)&amp;""</f>
        <v/>
      </c>
      <c r="I20" s="35"/>
      <c r="J20" s="35"/>
    </row>
    <row r="21" spans="1:10" s="1" customFormat="1" ht="119.4" customHeight="1" x14ac:dyDescent="0.25">
      <c r="A21" s="19" t="s">
        <v>221</v>
      </c>
      <c r="B21" s="18" t="str">
        <f>VLOOKUP($A21,Questions!$A$2:$X$333,2,0)</f>
        <v>For customers not using SSO, does your solution support local authentication protocols for user and administrator authentication?*</v>
      </c>
      <c r="C21" s="21" t="s">
        <v>40</v>
      </c>
      <c r="D21" s="313" t="s">
        <v>2077</v>
      </c>
      <c r="E21" s="167" t="str">
        <f>IF($C$18='Auto Responses'!$J$4,'Auto Responses'!$A$3,IF($C21='Auto Responses'!$J$3,VLOOKUP($A21,Questions!$A$2:$X$333,17,0)&amp;"",IF($C21='Auto Responses'!$J$4,VLOOKUP($A21,Questions!$A$2:$X$333,16,0)&amp;"",VLOOKUP($A21,Questions!$A$2:$X$333,15,0)&amp;"")))</f>
        <v>Provide a detailed description of your local authentication mode practices.</v>
      </c>
      <c r="F21" s="201" t="str">
        <f>VLOOKUP($A21,'Institution Evaluation'!$A$56:$F$345,6,0)&amp;""</f>
        <v/>
      </c>
      <c r="I21" s="35"/>
      <c r="J21" s="35"/>
    </row>
    <row r="22" spans="1:10" s="1" customFormat="1" ht="69" x14ac:dyDescent="0.25">
      <c r="A22" s="19" t="s">
        <v>225</v>
      </c>
      <c r="B22" s="18" t="str">
        <f>VLOOKUP($A22,Questions!$A$2:$X$333,2,0)</f>
        <v>For customers not using SSO, can you enforce password/passphrase complexity requirements (provided by the institution)?*</v>
      </c>
      <c r="C22" s="21" t="s">
        <v>40</v>
      </c>
      <c r="D22" s="313" t="s">
        <v>2078</v>
      </c>
      <c r="E22" s="167" t="str">
        <f>IF($C$18='Auto Responses'!$J$4,'Auto Responses'!$A$3,IF($C22='Auto Responses'!$J$3,VLOOKUP($A22,Questions!$A$2:$X$333,17,0)&amp;"",IF($C22='Auto Responses'!$J$4,VLOOKUP($A22,Questions!$A$2:$X$333,16,0)&amp;"",VLOOKUP($A22,Questions!$A$2:$X$333,15,0)&amp;"")))</f>
        <v>Describe how password/passphrase complexity requirements are implemented in the product.</v>
      </c>
      <c r="F22" s="201" t="str">
        <f>VLOOKUP($A22,'Institution Evaluation'!$A$56:$F$345,6,0)&amp;""</f>
        <v/>
      </c>
      <c r="I22" s="35"/>
      <c r="J22" s="35"/>
    </row>
    <row r="23" spans="1:10" s="1" customFormat="1" ht="96.6" x14ac:dyDescent="0.25">
      <c r="A23" s="19" t="s">
        <v>226</v>
      </c>
      <c r="B23" s="18" t="str">
        <f>VLOOKUP($A23,Questions!$A$2:$X$333,2,0)</f>
        <v>For customers not using SSO, does the system have password complexity or length limitations and/or restrictions?*</v>
      </c>
      <c r="C23" s="21" t="s">
        <v>40</v>
      </c>
      <c r="D23" s="313" t="s">
        <v>2079</v>
      </c>
      <c r="E23" s="167" t="str">
        <f>IF($C$18='Auto Responses'!$J$4,'Auto Responses'!$A$3,IF($C23='Auto Responses'!$J$3,VLOOKUP($A23,Questions!$A$2:$X$333,17,0)&amp;"",IF($C23='Auto Responses'!$J$4,VLOOKUP($A23,Questions!$A$2:$X$333,16,0)&amp;"",VLOOKUP($A23,Questions!$A$2:$X$333,15,0)&amp;"")))</f>
        <v>Describe these limitations and/or restrictions and state what lengths and complexities are supported.</v>
      </c>
      <c r="F23" s="201" t="str">
        <f>VLOOKUP($A23,'Institution Evaluation'!$A$56:$F$345,6,0)&amp;""</f>
        <v/>
      </c>
      <c r="I23" s="35"/>
      <c r="J23" s="35"/>
    </row>
    <row r="24" spans="1:10" s="1" customFormat="1" ht="96.6" x14ac:dyDescent="0.25">
      <c r="A24" s="19" t="s">
        <v>230</v>
      </c>
      <c r="B24" s="18" t="str">
        <f>VLOOKUP($A24,Questions!$A$2:$X$333,2,0)</f>
        <v>For customers not using SSO, do you have documented password/passphrase reset procedures that are currently implemented in the system and/or customer support?*</v>
      </c>
      <c r="C24" s="21" t="s">
        <v>40</v>
      </c>
      <c r="D24" s="313" t="s">
        <v>2080</v>
      </c>
      <c r="E24" s="167" t="str">
        <f>IF($C$18='Auto Responses'!$J$4,'Auto Responses'!$A$3,IF($C24='Auto Responses'!$J$3,VLOOKUP($A24,Questions!$A$2:$X$333,17,0)&amp;"",IF($C24='Auto Responses'!$J$4,VLOOKUP($A24,Questions!$A$2:$X$333,16,0)&amp;"",VLOOKUP($A24,Questions!$A$2:$X$333,15,0)&amp;"")))</f>
        <v>Describe your documented password/passphrase reset procedures that are currently implemented in the system and/or customer support.</v>
      </c>
      <c r="F24" s="201" t="str">
        <f>VLOOKUP($A24,'Institution Evaluation'!$A$56:$F$345,6,0)&amp;""</f>
        <v/>
      </c>
      <c r="H24" s="172"/>
      <c r="I24" s="35"/>
      <c r="J24" s="35"/>
    </row>
    <row r="25" spans="1:10" s="1" customFormat="1" ht="86.4" customHeight="1" x14ac:dyDescent="0.25">
      <c r="A25" s="19" t="s">
        <v>233</v>
      </c>
      <c r="B25" s="18" t="str">
        <f>VLOOKUP($A25,Questions!$A$2:$X$333,2,0)</f>
        <v>Does your organization participate in InCommon or another eduGAIN-affiliated trust federation?*</v>
      </c>
      <c r="C25" s="21" t="s">
        <v>148</v>
      </c>
      <c r="D25" s="313" t="s">
        <v>2081</v>
      </c>
      <c r="E25" s="167" t="str">
        <f>IF($C$18='Auto Responses'!$J$4,'Auto Responses'!$A$3,IF($C25='Auto Responses'!$J$3,VLOOKUP($A25,Questions!$A$2:$X$333,17,0)&amp;"",IF($C25='Auto Responses'!$J$4,VLOOKUP($A25,Questions!$A$2:$X$333,16,0)&amp;"",VLOOKUP($A25,Questions!$A$2:$X$333,15,0)&amp;"")))</f>
        <v>Describe plans to participate in InCommon or another eduGAIN-affiliated trust federation.</v>
      </c>
      <c r="F25" s="201" t="str">
        <f>VLOOKUP($A25,'Institution Evaluation'!$A$56:$F$345,6,0)&amp;""</f>
        <v/>
      </c>
      <c r="I25" s="35"/>
      <c r="J25" s="35"/>
    </row>
    <row r="26" spans="1:10" s="1" customFormat="1" ht="107.4" customHeight="1" x14ac:dyDescent="0.25">
      <c r="A26" s="19" t="s">
        <v>236</v>
      </c>
      <c r="B26" s="18" t="str">
        <f>VLOOKUP($A26,Questions!$A$2:$X$333,2,0)</f>
        <v>Are there any passwords/passphrases hard-coded into your systems or solutions?*</v>
      </c>
      <c r="C26" s="21" t="s">
        <v>148</v>
      </c>
      <c r="D26" s="313" t="s">
        <v>2083</v>
      </c>
      <c r="E26" s="167" t="str">
        <f>IF($C$18='Auto Responses'!$J$4,'Auto Responses'!$A$3,IF($C26='Auto Responses'!$J$3,VLOOKUP($A26,Questions!$A$2:$X$333,17,0)&amp;"",IF($C26='Auto Responses'!$J$4,VLOOKUP($A26,Questions!$A$2:$X$333,16,0)&amp;"",VLOOKUP($A26,Questions!$A$2:$X$333,15,0)&amp;"")))</f>
        <v/>
      </c>
      <c r="F26" s="201" t="str">
        <f>VLOOKUP($A26,'Institution Evaluation'!$A$56:$F$345,6,0)&amp;""</f>
        <v/>
      </c>
      <c r="I26" s="35"/>
      <c r="J26" s="35"/>
    </row>
    <row r="27" spans="1:10" s="1" customFormat="1" ht="112.8" customHeight="1" x14ac:dyDescent="0.25">
      <c r="A27" s="19" t="s">
        <v>239</v>
      </c>
      <c r="B27" s="18" t="str">
        <f>VLOOKUP($A27,Questions!$A$2:$X$333,2,0)</f>
        <v>Are you storing any passwords in plaintext?*</v>
      </c>
      <c r="C27" s="21" t="s">
        <v>148</v>
      </c>
      <c r="D27" s="313" t="s">
        <v>2082</v>
      </c>
      <c r="E27" s="167" t="str">
        <f>IF($C$18='Auto Responses'!$J$4,'Auto Responses'!$A$3,IF($C27='Auto Responses'!$J$3,VLOOKUP($A27,Questions!$A$2:$X$333,17,0)&amp;"",IF($C27='Auto Responses'!$J$4,VLOOKUP($A27,Questions!$A$2:$X$333,16,0)&amp;"",VLOOKUP($A27,Questions!$A$2:$X$333,15,0)&amp;"")))</f>
        <v/>
      </c>
      <c r="F27" s="201" t="str">
        <f>VLOOKUP($A27,'Institution Evaluation'!$A$56:$F$345,6,0)&amp;""</f>
        <v/>
      </c>
      <c r="I27" s="35"/>
      <c r="J27" s="35"/>
    </row>
    <row r="28" spans="1:10" s="1" customFormat="1" ht="276" x14ac:dyDescent="0.25">
      <c r="A28" s="19" t="s">
        <v>242</v>
      </c>
      <c r="B28" s="18" t="str">
        <f>VLOOKUP($A28,Questions!$A$2:$X$333,2,0)</f>
        <v>Are audit logs available that include AT LEAST all of the following: login, logout, actions performed, and source IP address?*</v>
      </c>
      <c r="C28" s="21" t="s">
        <v>40</v>
      </c>
      <c r="D28" s="313" t="s">
        <v>2084</v>
      </c>
      <c r="E28" s="167" t="str">
        <f>IF($C$18='Auto Responses'!$J$4,'Auto Responses'!$A$3,IF($C28='Auto Responses'!$J$3,VLOOKUP($A28,Questions!$A$2:$X$333,17,0)&amp;"",IF($C28='Auto Responses'!$J$4,VLOOKUP($A28,Questions!$A$2:$X$333,16,0)&amp;"",VLOOKUP($A28,Questions!$A$2:$X$333,15,0)&amp;"")))</f>
        <v/>
      </c>
      <c r="F28" s="201" t="str">
        <f>VLOOKUP($A28,'Institution Evaluation'!$A$56:$F$345,6,0)&amp;""</f>
        <v/>
      </c>
      <c r="I28" s="35"/>
      <c r="J28" s="35"/>
    </row>
    <row r="29" spans="1:10" s="1" customFormat="1" ht="409.6" x14ac:dyDescent="0.25">
      <c r="A29" s="19" t="s">
        <v>245</v>
      </c>
      <c r="B29" s="18" t="str">
        <f>VLOOKUP($A29,Questions!$A$2:$X$333,2,0)</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29" s="366" t="s">
        <v>2085</v>
      </c>
      <c r="D29" s="313"/>
      <c r="E29" s="167" t="str">
        <f>IF($C$18='Auto Responses'!$J$4,'Auto Responses'!$A$3,IF($C29='Auto Responses'!$J$3,VLOOKUP($A29,Questions!$A$2:$X$333,17,0)&amp;"",IF($C29='Auto Responses'!$J$4,VLOOKUP($A29,Questions!$A$2:$X$333,16,0)&amp;"",VLOOKUP($A29,Questions!$A$2:$X$333,15,0)&amp;"")))</f>
        <v>Ensure that all elements of AAAI-10 are clearly stated in your response.</v>
      </c>
      <c r="F29" s="201" t="str">
        <f>VLOOKUP($A29,'Institution Evaluation'!$A$56:$F$345,6,0)&amp;""</f>
        <v/>
      </c>
      <c r="I29" s="35"/>
      <c r="J29" s="35"/>
    </row>
    <row r="30" spans="1:10" s="1" customFormat="1" ht="234.6" x14ac:dyDescent="0.25">
      <c r="A30" s="19" t="s">
        <v>249</v>
      </c>
      <c r="B30" s="18" t="str">
        <f>VLOOKUP($A30,Questions!$A$2:$X$333,2,0)</f>
        <v>Can you provide the institution documentation regarding the retention period for those logs, how logs are protected, and whether they are accessible to the customer (and if so, how)?*</v>
      </c>
      <c r="C30" s="21" t="s">
        <v>40</v>
      </c>
      <c r="D30" s="313" t="s">
        <v>2086</v>
      </c>
      <c r="E30" s="167" t="str">
        <f>IF($C$18='Auto Responses'!$J$4,'Auto Responses'!$A$3,IF($C30='Auto Responses'!$J$3,VLOOKUP($A30,Questions!$A$2:$X$333,17,0)&amp;"",IF($C30='Auto Responses'!$J$4,VLOOKUP($A30,Questions!$A$2:$X$333,16,0)&amp;"",VLOOKUP($A30,Questions!$A$2:$X$333,15,0)&amp;"")))</f>
        <v>Ensure that all elements of AAAI-11 are clearly stated in your response.</v>
      </c>
      <c r="F30" s="201" t="str">
        <f>VLOOKUP($A30,'Institution Evaluation'!$A$56:$F$345,6,0)&amp;""</f>
        <v/>
      </c>
      <c r="I30" s="35"/>
      <c r="J30" s="35"/>
    </row>
    <row r="31" spans="1:10" s="1" customFormat="1" ht="82.8" x14ac:dyDescent="0.25">
      <c r="A31" s="19" t="s">
        <v>253</v>
      </c>
      <c r="B31" s="18" t="str">
        <f>VLOOKUP($A31,Questions!$A$2:$X$333,2,0)</f>
        <v>For customers not using SSO, does your application support integration with other authentication and authorization systems?</v>
      </c>
      <c r="C31" s="21" t="s">
        <v>40</v>
      </c>
      <c r="D31" s="313" t="s">
        <v>2087</v>
      </c>
      <c r="E31" s="167" t="str">
        <f>IF($C$18='Auto Responses'!$J$4,'Auto Responses'!$A$3,IF($C31='Auto Responses'!$J$3,VLOOKUP($A31,Questions!$A$2:$X$333,17,0)&amp;"",IF($C31='Auto Responses'!$J$4,VLOOKUP($A31,Questions!$A$2:$X$333,16,0)&amp;"",VLOOKUP($A31,Questions!$A$2:$X$333,15,0)&amp;"")))</f>
        <v>List which systems and versions supported (such as Active Directory, Kerberos, or other LDAP compatible directory) in Additional Info.</v>
      </c>
      <c r="F31" s="201" t="str">
        <f>VLOOKUP($A31,'Institution Evaluation'!$A$56:$F$345,6,0)&amp;""</f>
        <v/>
      </c>
      <c r="I31" s="35"/>
      <c r="J31" s="35"/>
    </row>
    <row r="32" spans="1:10" s="1" customFormat="1" ht="107.4" customHeight="1" x14ac:dyDescent="0.25">
      <c r="A32" s="19" t="s">
        <v>255</v>
      </c>
      <c r="B32" s="18" t="str">
        <f>VLOOKUP($A32,Questions!$A$2:$X$333,2,0)</f>
        <v>Do you allow the customer to specify attribute mappings for any needed information beyond a user identifier? (e.g., Reference eduPerson, ePPA/ePPN/ePE)</v>
      </c>
      <c r="C32" s="21" t="s">
        <v>148</v>
      </c>
      <c r="D32" s="313" t="s">
        <v>2088</v>
      </c>
      <c r="E32" s="167" t="str">
        <f>IF($C$18='Auto Responses'!$J$4,'Auto Responses'!$A$3,IF($C32='Auto Responses'!$J$3,VLOOKUP($A32,Questions!$A$2:$X$333,17,0)&amp;"",IF($C32='Auto Responses'!$J$4,VLOOKUP($A32,Questions!$A$2:$X$333,16,0)&amp;"",VLOOKUP($A32,Questions!$A$2:$X$333,15,0)&amp;"")))</f>
        <v>Describe plans to allow customers to specify attribute mappings.</v>
      </c>
      <c r="F32" s="201" t="str">
        <f>VLOOKUP($A32,'Institution Evaluation'!$A$56:$F$345,6,0)&amp;""</f>
        <v/>
      </c>
      <c r="I32" s="35"/>
      <c r="J32" s="35"/>
    </row>
    <row r="33" spans="1:10" s="1" customFormat="1" ht="82.8" x14ac:dyDescent="0.25">
      <c r="A33" s="19" t="s">
        <v>260</v>
      </c>
      <c r="B33" s="18" t="str">
        <f>VLOOKUP($A33,Questions!$A$2:$X$333,2,0)</f>
        <v>For customers not using SSO, does your application support directory integration for user accounts?</v>
      </c>
      <c r="C33" s="21" t="s">
        <v>40</v>
      </c>
      <c r="D33" s="313" t="s">
        <v>2089</v>
      </c>
      <c r="E33" s="167" t="str">
        <f>IF($C$18='Auto Responses'!$J$4,'Auto Responses'!$A$3,IF($C33='Auto Responses'!$J$3,VLOOKUP($A33,Questions!$A$2:$X$333,17,0)&amp;"",IF($C33='Auto Responses'!$J$4,VLOOKUP($A33,Questions!$A$2:$X$333,16,0)&amp;"",VLOOKUP($A33,Questions!$A$2:$X$333,15,0)&amp;"")))</f>
        <v>Describe all authentication services supported by the system.</v>
      </c>
      <c r="F33" s="201" t="str">
        <f>VLOOKUP($A33,'Institution Evaluation'!$A$56:$F$345,6,0)&amp;""</f>
        <v/>
      </c>
      <c r="I33" s="35"/>
      <c r="J33" s="35"/>
    </row>
    <row r="34" spans="1:10" s="1" customFormat="1" ht="105" customHeight="1" x14ac:dyDescent="0.25">
      <c r="A34" s="19" t="s">
        <v>261</v>
      </c>
      <c r="B34" s="18" t="str">
        <f>VLOOKUP($A34,Questions!$A$2:$X$333,2,0)</f>
        <v>Does your solution support any of the following web SSO standards: SAML2 (with redirect flow), OIDC, CAS, or other?</v>
      </c>
      <c r="C34" s="21" t="s">
        <v>40</v>
      </c>
      <c r="D34" s="313" t="s">
        <v>2090</v>
      </c>
      <c r="E34" s="167" t="str">
        <f>IF($C$18='Auto Responses'!$J$4,'Auto Responses'!$A$3,IF($C34='Auto Responses'!$J$3,VLOOKUP($A34,Questions!$A$2:$X$333,17,0)&amp;"",IF($C34='Auto Responses'!$J$4,VLOOKUP($A34,Questions!$A$2:$X$333,16,0)&amp;"",VLOOKUP($A34,Questions!$A$2:$X$333,15,0)&amp;"")))</f>
        <v>State the web SSO standards supported by your solution and provide additional details about your support, including framework(s) in use, how information is exchanged securely, etc.</v>
      </c>
      <c r="F34" s="201" t="str">
        <f>VLOOKUP($A34,'Institution Evaluation'!$A$56:$F$345,6,0)&amp;""</f>
        <v/>
      </c>
      <c r="I34" s="35"/>
      <c r="J34" s="35"/>
    </row>
    <row r="35" spans="1:10" s="1" customFormat="1" ht="110.4" x14ac:dyDescent="0.25">
      <c r="A35" s="19" t="s">
        <v>265</v>
      </c>
      <c r="B35" s="18" t="str">
        <f>VLOOKUP($A35,Questions!$A$2:$X$333,2,0)</f>
        <v>Do you support differentiation between email address and user identifier?</v>
      </c>
      <c r="C35" s="21" t="s">
        <v>148</v>
      </c>
      <c r="D35" s="313" t="s">
        <v>2091</v>
      </c>
      <c r="E35" s="167" t="str">
        <f>IF($C$18='Auto Responses'!$J$4,'Auto Responses'!$A$3,IF($C35='Auto Responses'!$J$3,VLOOKUP($A35,Questions!$A$2:$X$333,17,0)&amp;"",IF($C35='Auto Responses'!$J$4,VLOOKUP($A35,Questions!$A$2:$X$333,16,0)&amp;"",VLOOKUP($A35,Questions!$A$2:$X$333,15,0)&amp;"")))</f>
        <v>Describe any plans to support differentiation between email address and user identifier.</v>
      </c>
      <c r="F35" s="201" t="str">
        <f>VLOOKUP($A35,'Institution Evaluation'!$A$56:$F$345,6,0)&amp;""</f>
        <v/>
      </c>
      <c r="I35" s="35"/>
      <c r="J35" s="35"/>
    </row>
    <row r="36" spans="1:10" s="1" customFormat="1" ht="110.4" x14ac:dyDescent="0.25">
      <c r="A36" s="19" t="s">
        <v>268</v>
      </c>
      <c r="B36" s="18" t="str">
        <f>VLOOKUP($A36,Questions!$A$2:$X$333,2,0)</f>
        <v>For customers not using SSO, does your application and/or user frontend/portal support multifactor authentication (e.g., Duo, Google Authenticator, OTP, etc.)?</v>
      </c>
      <c r="C36" s="21" t="s">
        <v>1527</v>
      </c>
      <c r="D36" s="313" t="s">
        <v>2092</v>
      </c>
      <c r="E36" s="167" t="str">
        <f>IF($C$18='Auto Responses'!$J$4,'Auto Responses'!$A$3,IF($C$20='Auto Responses'!$J$4,'Auto Responses'!$A$28,IF($C36='Auto Responses'!$J$3,VLOOKUP($A36,Questions!$A$2:$X$333,17,0)&amp;"",IF($C36='Auto Responses'!$J$4,VLOOKUP($A36,Questions!$A$2:$X$333,16,0)&amp;"",VLOOKUP($A36,Questions!$A$2:$X$333,15,0)&amp;""))))</f>
        <v/>
      </c>
      <c r="F36" s="201" t="str">
        <f>VLOOKUP($A36,'Institution Evaluation'!$A$56:$F$345,6,0)&amp;""</f>
        <v/>
      </c>
      <c r="I36" s="35"/>
      <c r="J36" s="35"/>
    </row>
    <row r="37" spans="1:10" s="1" customFormat="1" ht="152.4" thickBot="1" x14ac:dyDescent="0.3">
      <c r="A37" s="19" t="s">
        <v>271</v>
      </c>
      <c r="B37" s="18" t="str">
        <f>VLOOKUP($A37,Questions!$A$2:$X$333,2,0)</f>
        <v>Does your application automatically lock the session or log out an account after a period of inactivity?</v>
      </c>
      <c r="C37" s="21" t="s">
        <v>40</v>
      </c>
      <c r="D37" s="313" t="s">
        <v>2093</v>
      </c>
      <c r="E37" s="167" t="str">
        <f>IF($C$18='Auto Responses'!$J$4,'Auto Responses'!$A$3,IF($C37='Auto Responses'!$J$3,VLOOKUP($A37,Questions!$A$2:$X$333,17,0)&amp;"",IF($C37='Auto Responses'!$J$4,VLOOKUP($A37,Questions!$A$2:$X$333,16,0)&amp;"",VLOOKUP($A37,Questions!$A$2:$X$333,15,0)&amp;"")))</f>
        <v>Describe the default behavior of this capability.</v>
      </c>
      <c r="F37" s="201" t="str">
        <f>VLOOKUP($A37,'Institution Evaluation'!$A$56:$F$345,6,0)&amp;""</f>
        <v/>
      </c>
      <c r="G37" s="238" t="s">
        <v>1449</v>
      </c>
      <c r="I37" s="35"/>
      <c r="J37" s="35"/>
    </row>
    <row r="38" spans="1:10" s="1" customFormat="1" ht="37.35" customHeight="1" thickBot="1" x14ac:dyDescent="0.3">
      <c r="A38" s="63" t="str">
        <f>VLOOKUP(LEFT($A39,4),'Auto Responses'!$N$4:$O$38,2,0)&amp;""</f>
        <v xml:space="preserve"> Data</v>
      </c>
      <c r="B38" s="22"/>
      <c r="C38" s="13" t="s">
        <v>1497</v>
      </c>
      <c r="D38" s="13" t="s">
        <v>72</v>
      </c>
      <c r="E38" s="31" t="s">
        <v>848</v>
      </c>
      <c r="F38" s="187" t="s">
        <v>849</v>
      </c>
      <c r="I38" s="35"/>
      <c r="J38" s="35"/>
    </row>
    <row r="39" spans="1:10" s="1" customFormat="1" ht="124.2" x14ac:dyDescent="0.25">
      <c r="A39" s="19" t="s">
        <v>325</v>
      </c>
      <c r="B39" s="18" t="str">
        <f>VLOOKUP($A39,Questions!$A$2:$X$333,2,0)</f>
        <v>Will the institution's data be stored on any devices (database servers, file servers, SAN, NAS, etc.) configured with non-RFC 1918/4193 (i.e., publicly routable) IP addresses?*</v>
      </c>
      <c r="C39" s="21" t="s">
        <v>148</v>
      </c>
      <c r="D39" s="313" t="s">
        <v>2094</v>
      </c>
      <c r="E39" s="167" t="str">
        <f>IF($C$18='Auto Responses'!$J$4,'Auto Responses'!$A$3,IF($C39='Auto Responses'!$J$3,VLOOKUP($A39,Questions!$A$2:$X$333,17,0)&amp;"",IF($C39='Auto Responses'!$J$4,VLOOKUP($A39,Questions!$A$2:$X$333,16,0)&amp;"",VLOOKUP($A39,Questions!$A$2:$X$333,15,0)&amp;"")))</f>
        <v/>
      </c>
      <c r="F39" s="201" t="str">
        <f>VLOOKUP($A39,'Institution Evaluation'!$A$56:$F$345,6,0)&amp;""</f>
        <v/>
      </c>
      <c r="I39" s="35"/>
      <c r="J39" s="35"/>
    </row>
    <row r="40" spans="1:10" s="1" customFormat="1" ht="110.4" x14ac:dyDescent="0.25">
      <c r="A40" s="19" t="s">
        <v>329</v>
      </c>
      <c r="B40" s="18" t="str">
        <f>VLOOKUP($A40,Questions!$A$2:$X$333,2,0)</f>
        <v>Is the transport of sensitive data encrypted using security protocols/algorithms (e.g., system-to-client)?*</v>
      </c>
      <c r="C40" s="21" t="s">
        <v>40</v>
      </c>
      <c r="D40" s="313" t="s">
        <v>2095</v>
      </c>
      <c r="E40" s="167" t="str">
        <f>IF($C$18='Auto Responses'!$J$4,'Auto Responses'!$A$3,IF($C40='Auto Responses'!$J$3,VLOOKUP($A40,Questions!$A$2:$X$333,17,0)&amp;"",IF($C40='Auto Responses'!$J$4,VLOOKUP($A40,Questions!$A$2:$X$333,16,0)&amp;"",VLOOKUP($A40,Questions!$A$2:$X$333,15,0)&amp;"")))</f>
        <v>Summarize your transport encryption strategy.</v>
      </c>
      <c r="F40" s="201" t="str">
        <f>VLOOKUP($A40,'Institution Evaluation'!$A$56:$F$345,6,0)&amp;""</f>
        <v/>
      </c>
      <c r="I40" s="35"/>
      <c r="J40" s="35"/>
    </row>
    <row r="41" spans="1:10" s="1" customFormat="1" ht="106.2" customHeight="1" x14ac:dyDescent="0.25">
      <c r="A41" s="19" t="s">
        <v>332</v>
      </c>
      <c r="B41" s="18" t="str">
        <f>VLOOKUP($A41,Questions!$A$2:$X$333,2,0)</f>
        <v>Is the storage of sensitive data encrypted using security protocols/algorithms (e.g., disk encryption, at-rest, files, and within a running database)?*</v>
      </c>
      <c r="C41" s="21" t="s">
        <v>40</v>
      </c>
      <c r="D41" s="313" t="s">
        <v>2096</v>
      </c>
      <c r="E41" s="167" t="str">
        <f>IF($C$18='Auto Responses'!$J$4,'Auto Responses'!$A$3,IF($C41='Auto Responses'!$J$3,VLOOKUP($A41,Questions!$A$2:$X$333,17,0)&amp;"",IF($C41='Auto Responses'!$J$4,VLOOKUP($A41,Questions!$A$2:$X$333,16,0)&amp;"",VLOOKUP($A41,Questions!$A$2:$X$333,15,0)&amp;"")))</f>
        <v>Summarize your data encryption strategy and state what encryption options are available.</v>
      </c>
      <c r="F41" s="201" t="str">
        <f>VLOOKUP($A41,'Institution Evaluation'!$A$56:$F$345,6,0)&amp;""</f>
        <v/>
      </c>
      <c r="I41" s="35"/>
      <c r="J41" s="35"/>
    </row>
    <row r="42" spans="1:10" s="1" customFormat="1" ht="161.4" customHeight="1" x14ac:dyDescent="0.25">
      <c r="A42" s="19" t="s">
        <v>336</v>
      </c>
      <c r="B42" s="18" t="str">
        <f>VLOOKUP($A42,Questions!$A$2:$X$333,2,0)</f>
        <v>Do all cryptographic modules in use in your solution conform to the Federal Information Processing Standards (FIPS PUB 140-2 or 140-3)?*</v>
      </c>
      <c r="C42" s="21" t="s">
        <v>40</v>
      </c>
      <c r="D42" s="313" t="s">
        <v>2097</v>
      </c>
      <c r="E42" s="167" t="str">
        <f>IF($C$18='Auto Responses'!$J$4,'Auto Responses'!$A$3,IF($C42='Auto Responses'!$J$3,VLOOKUP($A42,Questions!$A$2:$X$333,17,0)&amp;"",IF($C42='Auto Responses'!$J$4,VLOOKUP($A42,Questions!$A$2:$X$333,16,0)&amp;"",VLOOKUP($A42,Questions!$A$2:$X$333,15,0)&amp;"")))</f>
        <v>Provide reference to FIPS 140-3 validation certificates.</v>
      </c>
      <c r="F42" s="201" t="str">
        <f>VLOOKUP($A42,'Institution Evaluation'!$A$56:$F$345,6,0)&amp;""</f>
        <v/>
      </c>
      <c r="I42" s="35"/>
      <c r="J42" s="35"/>
    </row>
    <row r="43" spans="1:10" s="1" customFormat="1" ht="138" x14ac:dyDescent="0.25">
      <c r="A43" s="19" t="s">
        <v>341</v>
      </c>
      <c r="B43" s="18" t="str">
        <f>VLOOKUP($A43,Questions!$A$2:$X$333,2,0)</f>
        <v>Will the institution's data be available within the system for a period of time at the completion of this contract?*</v>
      </c>
      <c r="C43" s="21" t="s">
        <v>40</v>
      </c>
      <c r="D43" s="313" t="s">
        <v>2098</v>
      </c>
      <c r="E43" s="167" t="str">
        <f>IF($C$18='Auto Responses'!$J$4,'Auto Responses'!$A$3,IF($C43='Auto Responses'!$J$3,VLOOKUP($A43,Questions!$A$2:$X$333,17,0)&amp;"",IF($C43='Auto Responses'!$J$4,VLOOKUP($A43,Questions!$A$2:$X$333,16,0)&amp;"",VLOOKUP($A43,Questions!$A$2:$X$333,15,0)&amp;"")))</f>
        <v>State the length of time that the institution's data will be available in the system at the completion of the contract.</v>
      </c>
      <c r="F43" s="201" t="str">
        <f>VLOOKUP($A43,'Institution Evaluation'!$A$56:$F$345,6,0)&amp;""</f>
        <v/>
      </c>
      <c r="I43" s="35"/>
      <c r="J43" s="35"/>
    </row>
    <row r="44" spans="1:10" s="1" customFormat="1" ht="110.4" x14ac:dyDescent="0.25">
      <c r="A44" s="19" t="s">
        <v>344</v>
      </c>
      <c r="B44" s="18" t="str">
        <f>VLOOKUP($A44,Questions!$A$2:$X$333,2,0)</f>
        <v>Are ownership rights to all data, inputs, outputs, and metadata retained even through a provider acquisition or bankruptcy event?*</v>
      </c>
      <c r="C44" s="21" t="s">
        <v>40</v>
      </c>
      <c r="D44" s="313" t="s">
        <v>2099</v>
      </c>
      <c r="E44" s="167" t="str">
        <f>IF($C$18='Auto Responses'!$J$4,'Auto Responses'!$A$3,IF($C44='Auto Responses'!$J$3,VLOOKUP($A44,Questions!$A$2:$X$333,17,0)&amp;"",IF($C44='Auto Responses'!$J$4,VLOOKUP($A44,Questions!$A$2:$X$333,16,0)&amp;"",VLOOKUP($A44,Questions!$A$2:$X$333,15,0)&amp;"")))</f>
        <v>Provide references, as needed.</v>
      </c>
      <c r="F44" s="201" t="str">
        <f>VLOOKUP($A44,'Institution Evaluation'!$A$56:$F$345,6,0)&amp;""</f>
        <v/>
      </c>
      <c r="I44" s="35"/>
      <c r="J44" s="35"/>
    </row>
    <row r="45" spans="1:10" s="1" customFormat="1" ht="124.2" x14ac:dyDescent="0.25">
      <c r="A45" s="19" t="s">
        <v>346</v>
      </c>
      <c r="B45" s="18" t="str">
        <f>VLOOKUP($A45,Questions!$A$2:$X$333,2,0)</f>
        <v>Do backups containing the institution's data ever leave the institution's data zone either physically or via network routing?*</v>
      </c>
      <c r="C45" s="21" t="s">
        <v>148</v>
      </c>
      <c r="D45" s="313" t="s">
        <v>2100</v>
      </c>
      <c r="E45" s="167" t="str">
        <f>IF($C$18='Auto Responses'!$J$4,'Auto Responses'!$A$3,IF($C45='Auto Responses'!$J$3,VLOOKUP($A45,Questions!$A$2:$X$333,17,0)&amp;"",IF($C45='Auto Responses'!$J$4,VLOOKUP($A45,Questions!$A$2:$X$333,16,0)&amp;"",VLOOKUP($A45,Questions!$A$2:$X$333,15,0)&amp;"")))</f>
        <v/>
      </c>
      <c r="F45" s="201" t="str">
        <f>VLOOKUP($A45,'Institution Evaluation'!$A$56:$F$345,6,0)&amp;""</f>
        <v/>
      </c>
      <c r="I45" s="35"/>
      <c r="J45" s="35"/>
    </row>
    <row r="46" spans="1:10" s="1" customFormat="1" ht="96.6" x14ac:dyDescent="0.25">
      <c r="A46" s="19" t="s">
        <v>348</v>
      </c>
      <c r="B46" s="18" t="str">
        <f>VLOOKUP($A46,Questions!$A$2:$X$333,2,0)</f>
        <v>Is media used for long-term retention of business data and archival purposes stored in a secure, environmentally protected area?*</v>
      </c>
      <c r="C46" s="21" t="s">
        <v>40</v>
      </c>
      <c r="D46" s="313" t="s">
        <v>2101</v>
      </c>
      <c r="E46" s="167" t="str">
        <f>IF($C$18='Auto Responses'!$J$4,'Auto Responses'!$A$3,IF($C46='Auto Responses'!$J$3,VLOOKUP($A46,Questions!$A$2:$X$333,17,0)&amp;"",IF($C46='Auto Responses'!$J$4,VLOOKUP($A46,Questions!$A$2:$X$333,16,0)&amp;"",VLOOKUP($A46,Questions!$A$2:$X$333,15,0)&amp;"")))</f>
        <v>Provide a general summary of your archival environment.</v>
      </c>
      <c r="F46" s="201" t="str">
        <f>VLOOKUP($A46,'Institution Evaluation'!$A$56:$F$345,6,0)&amp;""</f>
        <v/>
      </c>
      <c r="I46" s="35"/>
      <c r="J46" s="35"/>
    </row>
    <row r="47" spans="1:10" s="1" customFormat="1" ht="124.2" x14ac:dyDescent="0.25">
      <c r="A47" s="19" t="s">
        <v>352</v>
      </c>
      <c r="B47" s="18" t="str">
        <f>VLOOKUP($A47,Questions!$A$2:$X$333,2,0)</f>
        <v>At the completion of this contract, will data be returned to the institution and/or deleted from all your systems and archives?</v>
      </c>
      <c r="C47" s="21" t="s">
        <v>40</v>
      </c>
      <c r="D47" s="313" t="s">
        <v>2102</v>
      </c>
      <c r="E47" s="167" t="str">
        <f>IF($C$18='Auto Responses'!$J$4,'Auto Responses'!$A$3,IF($C47='Auto Responses'!$J$3,VLOOKUP($A47,Questions!$A$2:$X$333,17,0)&amp;"",IF($C47='Auto Responses'!$J$4,VLOOKUP($A47,Questions!$A$2:$X$333,16,0)&amp;"",VLOOKUP($A47,Questions!$A$2:$X$333,15,0)&amp;"")))</f>
        <v>State the length of time that the institution's data will be available in the system at the completion of the contract.</v>
      </c>
      <c r="F47" s="201" t="str">
        <f>VLOOKUP($A47,'Institution Evaluation'!$A$56:$F$345,6,0)&amp;""</f>
        <v/>
      </c>
      <c r="I47" s="35"/>
      <c r="J47" s="35"/>
    </row>
    <row r="48" spans="1:10" s="1" customFormat="1" ht="110.4" x14ac:dyDescent="0.25">
      <c r="A48" s="19" t="s">
        <v>355</v>
      </c>
      <c r="B48" s="18" t="str">
        <f>VLOOKUP($A48,Questions!$A$2:$X$333,2,0)</f>
        <v>Can the institution extract a full or partial backup of data?</v>
      </c>
      <c r="C48" s="21" t="s">
        <v>40</v>
      </c>
      <c r="D48" s="313" t="s">
        <v>2103</v>
      </c>
      <c r="E48" s="167" t="str">
        <f>IF($C$18='Auto Responses'!$J$4,'Auto Responses'!$A$3,IF($C48='Auto Responses'!$J$3,VLOOKUP($A48,Questions!$A$2:$X$333,17,0)&amp;"",IF($C48='Auto Responses'!$J$4,VLOOKUP($A48,Questions!$A$2:$X$333,16,0)&amp;"",VLOOKUP($A48,Questions!$A$2:$X$333,15,0)&amp;"")))</f>
        <v>Provide a general summary of how full and partial backups of data can be extracted.</v>
      </c>
      <c r="F48" s="201" t="str">
        <f>VLOOKUP($A48,'Institution Evaluation'!$A$56:$F$345,6,0)&amp;""</f>
        <v/>
      </c>
      <c r="I48" s="35"/>
      <c r="J48" s="35"/>
    </row>
    <row r="49" spans="1:10" s="1" customFormat="1" ht="133.80000000000001" customHeight="1" x14ac:dyDescent="0.25">
      <c r="A49" s="19" t="s">
        <v>359</v>
      </c>
      <c r="B49" s="18" t="str">
        <f>VLOOKUP($A49,Questions!$A$2:$X$333,2,0)</f>
        <v>Do current backups include all operating system software, utilities, security software, application software, and data files necessary for recovery?</v>
      </c>
      <c r="C49" s="21" t="s">
        <v>40</v>
      </c>
      <c r="D49" s="313" t="s">
        <v>2104</v>
      </c>
      <c r="E49" s="167" t="str">
        <f>IF($C$18='Auto Responses'!$J$4,'Auto Responses'!$A$3,IF($C49='Auto Responses'!$J$3,VLOOKUP($A49,Questions!$A$2:$X$333,17,0)&amp;"",IF($C49='Auto Responses'!$J$4,VLOOKUP($A49,Questions!$A$2:$X$333,16,0)&amp;"",VLOOKUP($A49,Questions!$A$2:$X$333,15,0)&amp;"")))</f>
        <v>Describe your overall strategy to accomplish these elements.</v>
      </c>
      <c r="F49" s="201" t="str">
        <f>VLOOKUP($A49,'Institution Evaluation'!$A$56:$F$345,6,0)&amp;""</f>
        <v/>
      </c>
      <c r="I49" s="35"/>
      <c r="J49" s="35"/>
    </row>
    <row r="50" spans="1:10" s="1" customFormat="1" ht="82.8" x14ac:dyDescent="0.25">
      <c r="A50" s="19" t="s">
        <v>363</v>
      </c>
      <c r="B50" s="18" t="str">
        <f>VLOOKUP($A50,Questions!$A$2:$X$333,2,0)</f>
        <v>Are you performing off-site backups (i.e., digitally moved off site)?</v>
      </c>
      <c r="C50" s="21" t="s">
        <v>40</v>
      </c>
      <c r="D50" s="313" t="s">
        <v>2105</v>
      </c>
      <c r="E50" s="167" t="str">
        <f>IF($C$18='Auto Responses'!$J$4,'Auto Responses'!$A$3,IF($C50='Auto Responses'!$J$3,VLOOKUP($A50,Questions!$A$2:$X$333,17,0)&amp;"",IF($C50='Auto Responses'!$J$4,VLOOKUP($A50,Questions!$A$2:$X$333,16,0)&amp;"",VLOOKUP($A50,Questions!$A$2:$X$333,15,0)&amp;"")))</f>
        <v>Summarize your off-site backup strategy.</v>
      </c>
      <c r="F50" s="201" t="str">
        <f>VLOOKUP($A50,'Institution Evaluation'!$A$56:$F$345,6,0)&amp;""</f>
        <v/>
      </c>
      <c r="I50" s="35"/>
      <c r="J50" s="35"/>
    </row>
    <row r="51" spans="1:10" s="1" customFormat="1" ht="76.2" customHeight="1" x14ac:dyDescent="0.25">
      <c r="A51" s="19" t="s">
        <v>369</v>
      </c>
      <c r="B51" s="18" t="str">
        <f>VLOOKUP($A51,Questions!$A$2:$X$333,2,0)</f>
        <v>Are physical backups taken off-site (i.e., physically moved off site)?</v>
      </c>
      <c r="C51" s="21" t="s">
        <v>148</v>
      </c>
      <c r="D51" s="313" t="s">
        <v>2106</v>
      </c>
      <c r="E51" s="167" t="str">
        <f>IF($C$18='Auto Responses'!$J$4,'Auto Responses'!$A$3,IF($C$20='Auto Responses'!$J$4,'Auto Responses'!$A$28,IF($C51='Auto Responses'!$J$3,VLOOKUP($A51,Questions!$A$2:$X$333,17,0)&amp;"",IF($C51='Auto Responses'!$J$4,VLOOKUP($A51,Questions!$A$2:$X$333,16,0)&amp;"",VLOOKUP($A51,Questions!$A$2:$X$333,15,0)&amp;""))))</f>
        <v>State any plans to implement off-site physical backups in your environment.</v>
      </c>
      <c r="F51" s="201" t="str">
        <f>VLOOKUP($A51,'Institution Evaluation'!$A$56:$F$345,6,0)&amp;""</f>
        <v/>
      </c>
      <c r="I51" s="35"/>
      <c r="J51" s="35"/>
    </row>
    <row r="52" spans="1:10" s="1" customFormat="1" ht="82.8" x14ac:dyDescent="0.25">
      <c r="A52" s="19" t="s">
        <v>373</v>
      </c>
      <c r="B52" s="18" t="str">
        <f>VLOOKUP($A52,Questions!$A$2:$X$333,2,0)</f>
        <v>Are data backups encrypted?</v>
      </c>
      <c r="C52" s="21" t="s">
        <v>40</v>
      </c>
      <c r="D52" s="313" t="s">
        <v>2107</v>
      </c>
      <c r="E52" s="167" t="str">
        <f>IF($C$18='Auto Responses'!$J$4,'Auto Responses'!$A$3,IF($C52='Auto Responses'!$J$3,VLOOKUP($A52,Questions!$A$2:$X$333,17,0)&amp;"",IF($C52='Auto Responses'!$J$4,VLOOKUP($A52,Questions!$A$2:$X$333,16,0)&amp;"",VLOOKUP($A52,Questions!$A$2:$X$333,15,0)&amp;"")))</f>
        <v>Summarize the encryption algorithm/strategy you are using to secure backups.</v>
      </c>
      <c r="F52" s="201" t="str">
        <f>VLOOKUP($A52,'Institution Evaluation'!$A$56:$F$345,6,0)&amp;""</f>
        <v/>
      </c>
      <c r="I52" s="35"/>
      <c r="J52" s="35"/>
    </row>
    <row r="53" spans="1:10" s="1" customFormat="1" ht="179.4" x14ac:dyDescent="0.25">
      <c r="A53" s="19" t="s">
        <v>374</v>
      </c>
      <c r="B53" s="18" t="str">
        <f>VLOOKUP($A53,Questions!$A$2:$X$333,2,0)</f>
        <v>Do you have a media handling process that is documented and currently implemented that meets established business needs and regulatory requirements, including end-of-life, repurposing, and data-sanitization procedures?</v>
      </c>
      <c r="C53" s="21" t="s">
        <v>40</v>
      </c>
      <c r="D53" s="313" t="s">
        <v>2108</v>
      </c>
      <c r="E53" s="167" t="str">
        <f>IF($C$18='Auto Responses'!$J$4,'Auto Responses'!$A$3,IF($C53='Auto Responses'!$J$3,VLOOKUP($A53,Questions!$A$2:$X$333,17,0)&amp;"",IF($C53='Auto Responses'!$J$4,VLOOKUP($A53,Questions!$A$2:$X$333,16,0)&amp;"",VLOOKUP($A53,Questions!$A$2:$X$333,15,0)&amp;"")))</f>
        <v>Provide documented details of this process (link or attached).</v>
      </c>
      <c r="F53" s="201" t="str">
        <f>VLOOKUP($A53,'Institution Evaluation'!$A$56:$F$345,6,0)&amp;""</f>
        <v/>
      </c>
      <c r="I53" s="35"/>
      <c r="J53" s="35"/>
    </row>
    <row r="54" spans="1:10" s="1" customFormat="1" ht="100.8" customHeight="1" x14ac:dyDescent="0.25">
      <c r="A54" s="19" t="s">
        <v>375</v>
      </c>
      <c r="B54" s="18" t="str">
        <f>VLOOKUP($A54,Questions!$A$2:$X$333,2,0)</f>
        <v>Does the process described in DATA-15 adhere to DoD 5220.22-M and/or NIST SP 800-88 standards?</v>
      </c>
      <c r="C54" s="21" t="s">
        <v>40</v>
      </c>
      <c r="D54" s="313" t="s">
        <v>2109</v>
      </c>
      <c r="E54" s="167" t="str">
        <f>IF($C$18='Auto Responses'!$J$4,'Auto Responses'!$A$3,IF($C54='Auto Responses'!$J$3,VLOOKUP($A54,Questions!$A$2:$X$333,17,0)&amp;"",IF($C54='Auto Responses'!$J$4,VLOOKUP($A54,Questions!$A$2:$X$333,16,0)&amp;"",VLOOKUP($A54,Questions!$A$2:$X$333,15,0)&amp;"")))</f>
        <v/>
      </c>
      <c r="F54" s="201" t="str">
        <f>VLOOKUP($A54,'Institution Evaluation'!$A$56:$F$345,6,0)&amp;""</f>
        <v/>
      </c>
      <c r="I54" s="35"/>
      <c r="J54" s="35"/>
    </row>
    <row r="55" spans="1:10" s="1" customFormat="1" ht="124.2" x14ac:dyDescent="0.25">
      <c r="A55" s="19" t="s">
        <v>379</v>
      </c>
      <c r="B55" s="18" t="str">
        <f>VLOOKUP($A55,Questions!$A$2:$X$333,2,0)</f>
        <v>Does your staff (or third party) have access to institutional data (e.g., financial, PHI, or other sensitive information) through any means?</v>
      </c>
      <c r="C55" s="21" t="s">
        <v>148</v>
      </c>
      <c r="D55" s="313" t="s">
        <v>2110</v>
      </c>
      <c r="E55" s="167" t="str">
        <f>IF($C$18='Auto Responses'!$J$4,'Auto Responses'!$A$3,IF($C55='Auto Responses'!$J$3,VLOOKUP($A55,Questions!$A$2:$X$333,17,0)&amp;"",IF($C55='Auto Responses'!$J$4,VLOOKUP($A55,Questions!$A$2:$X$333,16,0)&amp;"",VLOOKUP($A55,Questions!$A$2:$X$333,15,0)&amp;"")))</f>
        <v/>
      </c>
      <c r="F55" s="201" t="str">
        <f>VLOOKUP($A55,'Institution Evaluation'!$A$56:$F$345,6,0)&amp;""</f>
        <v/>
      </c>
      <c r="I55" s="35"/>
      <c r="J55" s="35"/>
    </row>
    <row r="56" spans="1:10" s="1" customFormat="1" ht="252.6" customHeight="1" x14ac:dyDescent="0.25">
      <c r="A56" s="19" t="s">
        <v>385</v>
      </c>
      <c r="B56" s="18" t="str">
        <f>VLOOKUP($A56,Questions!$A$2:$X$333,2,0)</f>
        <v>Do you have a documented and currently implemented strategy for securing employee workstations when they work remotely (i.e., not in a trusted computing environment)?</v>
      </c>
      <c r="C56" s="21" t="s">
        <v>40</v>
      </c>
      <c r="D56" s="313" t="s">
        <v>2150</v>
      </c>
      <c r="E56" s="167" t="str">
        <f>IF($C$18='Auto Responses'!$J$4,'Auto Responses'!$A$3,IF($C56='Auto Responses'!$J$3,VLOOKUP($A56,Questions!$A$2:$X$333,17,0)&amp;"",IF($C56='Auto Responses'!$J$4,VLOOKUP($A56,Questions!$A$2:$X$333,16,0)&amp;"",VLOOKUP($A56,Questions!$A$2:$X$333,15,0)&amp;"")))</f>
        <v>Provide a detailed summary outlining the security controls implemented to protect the institution's data.</v>
      </c>
      <c r="F56" s="201" t="str">
        <f>VLOOKUP($A56,'Institution Evaluation'!$A$56:$F$345,6,0)&amp;""</f>
        <v/>
      </c>
      <c r="I56" s="35"/>
      <c r="J56" s="35"/>
    </row>
    <row r="57" spans="1:10" s="1" customFormat="1" ht="234.6" x14ac:dyDescent="0.25">
      <c r="A57" s="19" t="s">
        <v>387</v>
      </c>
      <c r="B57" s="18" t="str">
        <f>VLOOKUP($A57,Questions!$A$2:$X$333,2,0)</f>
        <v>Does the environment provide for dedicated single-tenant capabilities? If not, describe how your solution or environment separates data from different customers (e.g., logically, physically, single tenancy, multi-tenancy).</v>
      </c>
      <c r="C57" s="21" t="s">
        <v>40</v>
      </c>
      <c r="D57" s="313" t="s">
        <v>2111</v>
      </c>
      <c r="E57" s="167" t="str">
        <f>IF($C$18='Auto Responses'!$J$4,'Auto Responses'!$A$3,IF($C57='Auto Responses'!$J$3,VLOOKUP($A57,Questions!$A$2:$X$333,17,0)&amp;"",IF($C57='Auto Responses'!$J$4,VLOOKUP($A57,Questions!$A$2:$X$333,16,0)&amp;"",VLOOKUP($A57,Questions!$A$2:$X$333,15,0)&amp;"")))</f>
        <v>Describe or provide a reference to how institution data is separated from that of other customers.</v>
      </c>
      <c r="F57" s="201" t="str">
        <f>VLOOKUP($A57,'Institution Evaluation'!$A$56:$F$345,6,0)&amp;""</f>
        <v/>
      </c>
      <c r="I57" s="35"/>
      <c r="J57" s="35"/>
    </row>
    <row r="58" spans="1:10" s="1" customFormat="1" ht="82.8" x14ac:dyDescent="0.25">
      <c r="A58" s="19" t="s">
        <v>392</v>
      </c>
      <c r="B58" s="18" t="str">
        <f>VLOOKUP($A58,Questions!$A$2:$X$333,2,0)</f>
        <v>Are ownership rights to all data, inputs, outputs, and metadata retained by the institution?</v>
      </c>
      <c r="C58" s="21" t="s">
        <v>40</v>
      </c>
      <c r="D58" s="313" t="s">
        <v>2112</v>
      </c>
      <c r="E58" s="167" t="str">
        <f>IF($C$18='Auto Responses'!$J$4,'Auto Responses'!$A$3,IF($C58='Auto Responses'!$J$3,VLOOKUP($A58,Questions!$A$2:$X$333,17,0)&amp;"",IF($C58='Auto Responses'!$J$4,VLOOKUP($A58,Questions!$A$2:$X$333,16,0)&amp;"",VLOOKUP($A58,Questions!$A$2:$X$333,15,0)&amp;"")))</f>
        <v>Provide reference to your data ownership documentation.</v>
      </c>
      <c r="F58" s="201" t="str">
        <f>VLOOKUP($A58,'Institution Evaluation'!$A$56:$F$345,6,0)&amp;""</f>
        <v/>
      </c>
      <c r="I58" s="35"/>
      <c r="J58" s="35"/>
    </row>
    <row r="59" spans="1:10" s="1" customFormat="1" ht="156.6" customHeight="1" x14ac:dyDescent="0.25">
      <c r="A59" s="19" t="s">
        <v>395</v>
      </c>
      <c r="B59" s="18" t="str">
        <f>VLOOKUP($A59,Questions!$A$2:$X$333,2,0)</f>
        <v>In the event of imminent bankruptcy, closing of business, or retirement of service, will you provide 90 days for customers to get their data out of the system and migrate applications?</v>
      </c>
      <c r="C59" s="21" t="s">
        <v>40</v>
      </c>
      <c r="D59" s="313" t="s">
        <v>2113</v>
      </c>
      <c r="E59" s="167" t="str">
        <f>IF($C$18='Auto Responses'!$J$4,'Auto Responses'!$A$3,IF($C59='Auto Responses'!$J$3,VLOOKUP($A59,Questions!$A$2:$X$333,17,0)&amp;"",IF($C59='Auto Responses'!$J$4,VLOOKUP($A59,Questions!$A$2:$X$333,16,0)&amp;"",VLOOKUP($A59,Questions!$A$2:$X$333,15,0)&amp;"")))</f>
        <v>State how the institution will be notified of imminent termination.</v>
      </c>
      <c r="F59" s="201" t="str">
        <f>VLOOKUP($A59,'Institution Evaluation'!$A$56:$F$345,6,0)&amp;""</f>
        <v/>
      </c>
      <c r="I59" s="35"/>
      <c r="J59" s="35"/>
    </row>
    <row r="60" spans="1:10" s="1" customFormat="1" ht="138" x14ac:dyDescent="0.25">
      <c r="A60" s="19" t="s">
        <v>398</v>
      </c>
      <c r="B60" s="18" t="str">
        <f>VLOOKUP($A60,Questions!$A$2:$X$333,2,0)</f>
        <v>Are involatile backup copies made according to predefined schedules and securely stored and protected?</v>
      </c>
      <c r="C60" s="21" t="s">
        <v>40</v>
      </c>
      <c r="D60" s="313" t="s">
        <v>2114</v>
      </c>
      <c r="E60" s="167" t="str">
        <f>IF($C$18='Auto Responses'!$J$4,'Auto Responses'!$A$3,IF($C60='Auto Responses'!$J$3,VLOOKUP($A60,Questions!$A$2:$X$333,17,0)&amp;"",IF($C60='Auto Responses'!$J$4,VLOOKUP($A60,Questions!$A$2:$X$333,16,0)&amp;"",VLOOKUP($A60,Questions!$A$2:$X$333,15,0)&amp;"")))</f>
        <v>If your strategy uses different processes for services and data, ensure that all strategies are clearly stated and supported.</v>
      </c>
      <c r="F60" s="201" t="str">
        <f>VLOOKUP($A60,'Institution Evaluation'!$A$56:$F$345,6,0)&amp;""</f>
        <v/>
      </c>
      <c r="I60" s="35"/>
      <c r="J60" s="35"/>
    </row>
    <row r="61" spans="1:10" s="1" customFormat="1" ht="372.6" x14ac:dyDescent="0.25">
      <c r="A61" s="19" t="s">
        <v>402</v>
      </c>
      <c r="B61" s="18" t="str">
        <f>VLOOKUP($A61,Questions!$A$2:$X$333,2,0)</f>
        <v>Do you have a cryptographic key management process (generation, exchange, storage, safeguards, use, vetting, and replacement) that is documented and currently implemented, for all system components (e.g., database, system, web, etc.)?</v>
      </c>
      <c r="C61" s="21" t="s">
        <v>40</v>
      </c>
      <c r="D61" s="313" t="s">
        <v>2115</v>
      </c>
      <c r="E61" s="167" t="str">
        <f>IF($C$18='Auto Responses'!$J$4,'Auto Responses'!$A$3,IF($C61='Auto Responses'!$J$3,VLOOKUP($A61,Questions!$A$2:$X$333,17,0)&amp;"",IF($C61='Auto Responses'!$J$4,VLOOKUP($A61,Questions!$A$2:$X$333,16,0)&amp;"",VLOOKUP($A61,Questions!$A$2:$X$333,15,0)&amp;"")))</f>
        <v>Summarize your cryptographic key management process.</v>
      </c>
      <c r="F61" s="201" t="str">
        <f>VLOOKUP($A61,'Institution Evaluation'!$A$56:$F$345,6,0)&amp;""</f>
        <v/>
      </c>
      <c r="G61" s="238" t="s">
        <v>1449</v>
      </c>
      <c r="I61" s="35"/>
      <c r="J61" s="35"/>
    </row>
    <row r="62" spans="1:10" s="171" customFormat="1" ht="36.75" customHeight="1" x14ac:dyDescent="0.25">
      <c r="A62" s="267" t="s">
        <v>1507</v>
      </c>
      <c r="B62" s="253"/>
      <c r="C62" s="254"/>
      <c r="D62" s="314"/>
      <c r="E62" s="256"/>
      <c r="F62" s="257"/>
      <c r="G62" s="258"/>
      <c r="I62" s="172"/>
      <c r="J62" s="172"/>
    </row>
    <row r="63" spans="1:10" s="1" customFormat="1" ht="15" customHeight="1" x14ac:dyDescent="0.25">
      <c r="A63" s="266"/>
      <c r="C63" s="8"/>
      <c r="D63" s="9"/>
      <c r="E63" s="10"/>
      <c r="I63" s="35"/>
      <c r="J63" s="35"/>
    </row>
    <row r="64" spans="1:10" s="1" customFormat="1" ht="15" hidden="1" customHeight="1" x14ac:dyDescent="0.25">
      <c r="A64"/>
      <c r="C64" s="8"/>
      <c r="D64" s="9"/>
      <c r="E64" s="10"/>
      <c r="I64" s="35"/>
      <c r="J64" s="35"/>
    </row>
    <row r="65" spans="1:12" ht="15" hidden="1" customHeight="1" x14ac:dyDescent="0.25">
      <c r="A65" s="1"/>
      <c r="B65" s="8"/>
      <c r="C65" s="71"/>
      <c r="D65" s="10"/>
      <c r="E65" s="1"/>
      <c r="H65" s="35"/>
      <c r="I65" s="1"/>
      <c r="J65" s="1"/>
      <c r="L65"/>
    </row>
    <row r="66" spans="1:12" ht="57" hidden="1" customHeight="1" x14ac:dyDescent="0.25">
      <c r="A66" s="19" t="e">
        <f>#REF!</f>
        <v>#REF!</v>
      </c>
    </row>
    <row r="67" spans="1:12" ht="42.75" hidden="1" customHeight="1" x14ac:dyDescent="0.25">
      <c r="A67" s="19" t="e">
        <f>#REF!</f>
        <v>#REF!</v>
      </c>
    </row>
    <row r="68" spans="1:12" ht="15" hidden="1" customHeight="1" x14ac:dyDescent="0.25">
      <c r="A68" s="19" t="e">
        <f>#REF!</f>
        <v>#REF!</v>
      </c>
    </row>
    <row r="69" spans="1:12" ht="15" hidden="1" customHeight="1" x14ac:dyDescent="0.25">
      <c r="A69" s="19" t="e">
        <f>#REF!</f>
        <v>#REF!</v>
      </c>
    </row>
    <row r="70" spans="1:12" ht="15" hidden="1" customHeight="1" x14ac:dyDescent="0.25">
      <c r="A70" s="19" t="e">
        <f>#REF!</f>
        <v>#REF!</v>
      </c>
    </row>
    <row r="71" spans="1:12" ht="15" hidden="1" customHeight="1" x14ac:dyDescent="0.25">
      <c r="A71" s="19" t="e">
        <f>#REF!</f>
        <v>#REF!</v>
      </c>
    </row>
    <row r="72" spans="1:12" ht="15" hidden="1" customHeight="1" x14ac:dyDescent="0.25">
      <c r="A72" s="19" t="e">
        <f>#REF!</f>
        <v>#REF!</v>
      </c>
    </row>
    <row r="73" spans="1:12" ht="15" hidden="1" customHeight="1" x14ac:dyDescent="0.25"/>
    <row r="74" spans="1:12" ht="15" hidden="1" customHeight="1" x14ac:dyDescent="0.25"/>
    <row r="75" spans="1:12" ht="15" hidden="1" customHeight="1" x14ac:dyDescent="0.25"/>
    <row r="76" spans="1:12" ht="15" hidden="1" customHeight="1" x14ac:dyDescent="0.25"/>
    <row r="77" spans="1:12" ht="15" hidden="1" customHeight="1" x14ac:dyDescent="0.25"/>
    <row r="78" spans="1:12" ht="15" hidden="1" customHeight="1" x14ac:dyDescent="0.25"/>
    <row r="79" spans="1:12" ht="15" hidden="1" customHeight="1" x14ac:dyDescent="0.25"/>
    <row r="80" spans="1:12"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sheetData>
  <dataValidations count="2">
    <dataValidation allowBlank="1" showInputMessage="1" showErrorMessage="1" promptTitle="Warning!" prompt="The HECVAT is built using a number of complex formulas. Editing this cell can break the functionality of the tool. " sqref="C4:C12 A3:A62 C17:D17 C19:D19 C38:D38 D2:F16 C2 B1:B62 A1 E17:F61 D20" xr:uid="{64E30B2D-E049-453B-8CAE-97B86F3413F2}"/>
    <dataValidation allowBlank="1" showInputMessage="1" showErrorMessage="1" prompt="This answer has been populated from the &quot;START HERE&quot; tab and does not need to be re-entered." sqref="C3 C13:C16 C18" xr:uid="{6D8F93AD-047A-4C29-8748-47EEDCFF053B}"/>
  </dataValidations>
  <hyperlinks>
    <hyperlink ref="A11" r:id="rId1" display="http://www.educause.edu/HECVAT" xr:uid="{6D5A27A0-CF84-4C62-B544-96085F34325A}"/>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C093D72B-46CA-40A8-B0D5-8700FB88AD9A}">
          <x14:formula1>
            <xm:f>'Auto Responses'!$J$3:$J$4</xm:f>
          </x14:formula1>
          <xm:sqref>C37 C20:C28 C30:C35 C39:C50 C52:C62</xm:sqref>
        </x14:dataValidation>
        <x14:dataValidation type="list" allowBlank="1" showInputMessage="1" showErrorMessage="1" xr:uid="{0AAA81DB-1F91-4505-860D-18952EEEC318}">
          <x14:formula1>
            <xm:f>'Auto Responses'!$J$3:$J$5</xm:f>
          </x14:formula1>
          <xm:sqref>C36 C51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FC9E-3000-4DB3-8715-E42EDA42AE0D}">
  <sheetPr>
    <tabColor rgb="FF00636C"/>
  </sheetPr>
  <dimension ref="A1:L84"/>
  <sheetViews>
    <sheetView showGridLines="0" showZeros="0" topLeftCell="A9" zoomScale="81" zoomScaleNormal="81" workbookViewId="0">
      <selection activeCell="D71" sqref="D71"/>
    </sheetView>
  </sheetViews>
  <sheetFormatPr defaultColWidth="0" defaultRowHeight="0" customHeight="1" zeroHeight="1" x14ac:dyDescent="0.25"/>
  <cols>
    <col min="1" max="1" width="8.3046875" style="23" customWidth="1"/>
    <col min="2" max="2" width="55.07421875" style="1" customWidth="1"/>
    <col min="3" max="3" width="18.921875" style="8" customWidth="1"/>
    <col min="4" max="4" width="55.69140625" style="9" customWidth="1"/>
    <col min="5" max="5" width="32" style="10" customWidth="1"/>
    <col min="6" max="6" width="30.69140625" style="1" customWidth="1"/>
    <col min="7" max="7" width="18.07421875" style="1" customWidth="1"/>
    <col min="8" max="8" width="18.07421875" style="1" hidden="1" customWidth="1"/>
    <col min="9" max="10" width="18.07421875" style="35" hidden="1" customWidth="1"/>
    <col min="11" max="11" width="4.4609375" style="1" hidden="1" customWidth="1"/>
    <col min="12" max="12" width="6.61328125" style="1" hidden="1" customWidth="1"/>
    <col min="13" max="16384" width="6.61328125" style="23" hidden="1"/>
  </cols>
  <sheetData>
    <row r="1" spans="1:12" ht="0" hidden="1" customHeight="1" x14ac:dyDescent="0.25">
      <c r="A1" s="23" t="s">
        <v>1448</v>
      </c>
    </row>
    <row r="2" spans="1:12" customFormat="1" ht="36" customHeight="1" x14ac:dyDescent="0.25">
      <c r="A2" s="168" t="s">
        <v>1377</v>
      </c>
      <c r="B2" s="168"/>
      <c r="C2" s="169"/>
      <c r="D2" s="308"/>
      <c r="E2" s="170"/>
      <c r="F2" s="170" t="str">
        <f>'Auto Responses'!$A$36</f>
        <v>Version 4.1.5</v>
      </c>
      <c r="G2" s="1"/>
      <c r="H2" s="1"/>
      <c r="I2" s="35"/>
      <c r="J2" s="1"/>
      <c r="K2" s="1"/>
      <c r="L2" s="1"/>
    </row>
    <row r="3" spans="1:12" s="1" customFormat="1" ht="29.1" customHeight="1" x14ac:dyDescent="0.25">
      <c r="A3" s="37" t="s">
        <v>940</v>
      </c>
      <c r="B3" s="38"/>
      <c r="C3" s="66">
        <f>'START HERE'!$C$3</f>
        <v>0</v>
      </c>
      <c r="D3" s="309"/>
      <c r="E3" s="36"/>
      <c r="F3" s="50"/>
      <c r="I3" s="35"/>
    </row>
    <row r="4" spans="1:12" s="1" customFormat="1" ht="36" customHeight="1" x14ac:dyDescent="0.25">
      <c r="A4" s="11" t="s">
        <v>865</v>
      </c>
      <c r="B4" s="12"/>
      <c r="C4" s="13"/>
      <c r="D4" s="14"/>
      <c r="E4" s="15"/>
      <c r="F4" s="15"/>
      <c r="I4" s="35"/>
    </row>
    <row r="5" spans="1:12" s="1" customFormat="1" ht="19.5" customHeight="1" x14ac:dyDescent="0.25">
      <c r="A5" s="42" t="str">
        <f>HLOOKUP($A$4,'Auto Responses'!$D$2:$D$8,2,0)&amp;""</f>
        <v>1. Complete the "Start Here" tab and review the "Required Questions" guidance to find the other sections are required for your product or service.</v>
      </c>
      <c r="B5" s="16"/>
      <c r="C5" s="67"/>
      <c r="D5" s="310"/>
      <c r="E5" s="16"/>
      <c r="F5" s="261"/>
      <c r="I5" s="35"/>
    </row>
    <row r="6" spans="1:12"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10"/>
      <c r="E6" s="16"/>
      <c r="F6" s="262"/>
      <c r="I6" s="35"/>
    </row>
    <row r="7" spans="1:12"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10"/>
      <c r="E7" s="16"/>
      <c r="F7" s="262"/>
      <c r="I7" s="35"/>
    </row>
    <row r="8" spans="1:12" s="1" customFormat="1" ht="19.5" customHeight="1" x14ac:dyDescent="0.25">
      <c r="A8" s="42" t="str">
        <f>HLOOKUP($A$4,'Auto Responses'!$D$2:$D$8,5,0)&amp;""</f>
        <v>4. DO NOT complete any fields in the "Evaluation" sheets or the "Analyst Notes" column.</v>
      </c>
      <c r="B8" s="16"/>
      <c r="C8" s="67"/>
      <c r="D8" s="310"/>
      <c r="E8" s="16"/>
      <c r="F8" s="262"/>
      <c r="I8" s="35"/>
    </row>
    <row r="9" spans="1:12" s="1" customFormat="1" ht="19.5" customHeight="1" x14ac:dyDescent="0.25">
      <c r="A9" s="42" t="str">
        <f>HLOOKUP($A$4,'Auto Responses'!$D$2:$D$8,6,0)&amp;""</f>
        <v>5. Return the completed file to institutions.</v>
      </c>
      <c r="B9" s="16"/>
      <c r="C9" s="67"/>
      <c r="D9" s="310"/>
      <c r="E9" s="16"/>
      <c r="F9" s="262"/>
      <c r="I9" s="35"/>
    </row>
    <row r="10" spans="1:12" s="1" customFormat="1" ht="19.5" customHeight="1" x14ac:dyDescent="0.25">
      <c r="A10" s="247" t="str">
        <f>HLOOKUP($A$4,'Auto Responses'!$D$2:$D$8,7,0)&amp;""</f>
        <v>* Denotes critical questions. Critical questions are those deemed most important to institutions by higher education volunteers.</v>
      </c>
      <c r="B10" s="16"/>
      <c r="C10" s="67"/>
      <c r="D10" s="310"/>
      <c r="E10" s="16"/>
      <c r="F10" s="262"/>
      <c r="I10" s="35"/>
    </row>
    <row r="11" spans="1:12" s="1" customFormat="1" ht="19.5" customHeight="1" x14ac:dyDescent="0.25">
      <c r="A11" s="246" t="str">
        <f>HLOOKUP($A$4,'Auto Responses'!$D$2:$D$9,8,0)&amp;""</f>
        <v>For full instructions, please visit educause.edu/HECVAT</v>
      </c>
      <c r="B11" s="16"/>
      <c r="C11" s="67"/>
      <c r="D11" s="310"/>
      <c r="E11" s="16"/>
      <c r="F11" s="263"/>
      <c r="I11" s="35"/>
    </row>
    <row r="12" spans="1:12" s="1" customFormat="1" ht="36" customHeight="1" x14ac:dyDescent="0.25">
      <c r="A12" s="63" t="str">
        <f>VLOOKUP(LEFT($A13,4),'Auto Responses'!$N$4:$O$38,2,0)&amp;""</f>
        <v xml:space="preserve"> General Information</v>
      </c>
      <c r="B12" s="12"/>
      <c r="C12" s="13" t="s">
        <v>1497</v>
      </c>
      <c r="D12" s="311"/>
      <c r="E12" s="17"/>
      <c r="F12" s="17"/>
      <c r="I12" s="35"/>
      <c r="J12" s="35"/>
    </row>
    <row r="13" spans="1:12" s="1" customFormat="1" ht="22.35" customHeight="1" x14ac:dyDescent="0.25">
      <c r="A13" s="19" t="s">
        <v>21</v>
      </c>
      <c r="B13" s="20" t="str">
        <f>VLOOKUP($A13,Questions!$A$2:$X$333,2,0)&amp;""</f>
        <v>Solution Provider Name</v>
      </c>
      <c r="C13" s="76" t="str">
        <f>VLOOKUP($A13,'START HERE'!$A$13:$C$21,3,0)&amp;""</f>
        <v>Cursive Technology Inc</v>
      </c>
      <c r="D13" s="32"/>
      <c r="E13" s="32"/>
      <c r="F13" s="50"/>
      <c r="I13" s="35"/>
      <c r="J13" s="35"/>
    </row>
    <row r="14" spans="1:12" s="1" customFormat="1" ht="22.35" customHeight="1" x14ac:dyDescent="0.25">
      <c r="A14" s="19" t="s">
        <v>24</v>
      </c>
      <c r="B14" s="20" t="str">
        <f>VLOOKUP($A14,Questions!$A$2:$X$333,2,0)&amp;""</f>
        <v>Solution Name</v>
      </c>
      <c r="C14" s="76" t="str">
        <f>VLOOKUP($A14,'START HERE'!$A$13:$C$21,3,0)&amp;""</f>
        <v>TypeID</v>
      </c>
      <c r="D14" s="32"/>
      <c r="E14" s="32"/>
      <c r="F14" s="50"/>
      <c r="I14" s="35"/>
      <c r="J14" s="35"/>
    </row>
    <row r="15" spans="1:12" s="1" customFormat="1" ht="22.35" customHeight="1" x14ac:dyDescent="0.25">
      <c r="A15" s="19" t="s">
        <v>25</v>
      </c>
      <c r="B15" s="20" t="str">
        <f>VLOOKUP($A15,Questions!$A$2:$X$333,2,0)&amp;""</f>
        <v>Solution Description</v>
      </c>
      <c r="C15" s="76" t="str">
        <f>VLOOKUP($A15,'START HERE'!$A$13:$C$21,3,0)&amp;""</f>
        <v>Continuous authorship verification and writing analytics using typing biometrics. Native Moodle plugin, browser extension for any LMS, WordPress-based authorship report and verification system.</v>
      </c>
      <c r="D15" s="32"/>
      <c r="E15" s="32"/>
      <c r="F15" s="50"/>
      <c r="I15" s="35"/>
      <c r="J15" s="35"/>
    </row>
    <row r="16" spans="1:12" s="1" customFormat="1" ht="22.35" customHeight="1" thickBot="1" x14ac:dyDescent="0.3">
      <c r="A16" s="19" t="s">
        <v>30</v>
      </c>
      <c r="B16" s="20" t="str">
        <f>VLOOKUP($A16,Questions!$A$2:$X$333,2,0)&amp;""</f>
        <v>Country of Company Headquarters</v>
      </c>
      <c r="C16" s="76" t="str">
        <f>VLOOKUP($A16,'START HERE'!$A$13:$C$21,3,0)&amp;""</f>
        <v>USA</v>
      </c>
      <c r="D16" s="32"/>
      <c r="E16" s="32"/>
      <c r="F16" s="50"/>
      <c r="I16" s="35"/>
      <c r="J16" s="35"/>
    </row>
    <row r="17" spans="1:10" s="1" customFormat="1" ht="37.35" customHeight="1" thickBot="1" x14ac:dyDescent="0.3">
      <c r="A17" s="63" t="str">
        <f>VLOOKUP(LEFT($A18,4),'Auto Responses'!$N$4:$O$38,2,0)&amp;""</f>
        <v xml:space="preserve"> Required Questions</v>
      </c>
      <c r="B17" s="22"/>
      <c r="C17" s="13" t="s">
        <v>1497</v>
      </c>
      <c r="D17" s="13"/>
      <c r="E17" s="31" t="s">
        <v>848</v>
      </c>
      <c r="F17" s="187" t="s">
        <v>849</v>
      </c>
      <c r="I17" s="35"/>
      <c r="J17" s="35"/>
    </row>
    <row r="18" spans="1:10" s="1" customFormat="1" ht="28.2" thickBot="1" x14ac:dyDescent="0.3">
      <c r="A18" s="19" t="s">
        <v>48</v>
      </c>
      <c r="B18" s="18" t="str">
        <f>VLOOKUP($A18,Questions!$A$2:$X$333,2,0)</f>
        <v>Are you offering a cloud-based product?</v>
      </c>
      <c r="C18" s="73" t="str">
        <f>VLOOKUP($A18,'START HERE'!$A$23:$F$36,3,0)&amp;""</f>
        <v>Yes</v>
      </c>
      <c r="D18" s="315" t="str">
        <f>VLOOKUP($A18,'START HERE'!$A$23:$F$36,4,0)&amp;""</f>
        <v/>
      </c>
      <c r="E18" s="167" t="str">
        <f>IF($C18='Auto Responses'!$J$3,VLOOKUP($A18,Questions!$A$2:$X$333,17,0)&amp;"",IF($C18='Auto Responses'!$J$4,VLOOKUP($A18,Questions!$A$2:$X$333,16,0)&amp;"",VLOOKUP($A18,Questions!$A$2:$X$333,15,0)&amp;""))</f>
        <v>DO complete the Product and Infrastructure worksheets</v>
      </c>
      <c r="F18" s="201" t="str">
        <f>VLOOKUP($A18,'Institution Evaluation'!$A$56:$F$345,6,0)&amp;""</f>
        <v/>
      </c>
      <c r="G18" s="238" t="s">
        <v>1449</v>
      </c>
      <c r="I18" s="35"/>
      <c r="J18" s="35"/>
    </row>
    <row r="19" spans="1:10" s="1" customFormat="1" ht="37.35" customHeight="1" thickBot="1" x14ac:dyDescent="0.3">
      <c r="A19" s="63" t="str">
        <f>VLOOKUP(LEFT($A20,4),'Auto Responses'!$N$4:$O$38,2,0)&amp;""</f>
        <v xml:space="preserve"> Application/Service Security</v>
      </c>
      <c r="B19" s="22"/>
      <c r="C19" s="13" t="s">
        <v>1497</v>
      </c>
      <c r="D19" s="13" t="s">
        <v>72</v>
      </c>
      <c r="E19" s="31" t="s">
        <v>848</v>
      </c>
      <c r="F19" s="187" t="s">
        <v>849</v>
      </c>
      <c r="I19" s="35"/>
      <c r="J19" s="35"/>
    </row>
    <row r="20" spans="1:10" s="1" customFormat="1" ht="96.6" x14ac:dyDescent="0.25">
      <c r="A20" s="19" t="s">
        <v>161</v>
      </c>
      <c r="B20" s="18" t="str">
        <f>VLOOKUP($A20,Questions!$A$2:$X$333,2,0)</f>
        <v>Are access controls for institutional accounts based on structured rules, such as role-based access control (RBAC), attribute-based access control (ABAC), or policy-based access control (PBAC)?*</v>
      </c>
      <c r="C20" s="21" t="s">
        <v>40</v>
      </c>
      <c r="D20" s="316" t="s">
        <v>2026</v>
      </c>
      <c r="E20" s="167" t="str">
        <f>IF($C$18='Auto Responses'!$J$4,'Auto Responses'!$A$3,IF($C20='Auto Responses'!$J$3,VLOOKUP($A20,Questions!$A$2:$X$333,17,0)&amp;"",IF($C20='Auto Responses'!$J$4,VLOOKUP($A20,Questions!$A$2:$X$333,16,0)&amp;"",VLOOKUP($A20,Questions!$A$2:$X$333,15,0)&amp;"")))</f>
        <v>Describe available roles.</v>
      </c>
      <c r="F20" s="201" t="str">
        <f>VLOOKUP($A20,'Institution Evaluation'!$A$56:$F$345,6,0)&amp;""</f>
        <v/>
      </c>
      <c r="I20" s="35"/>
      <c r="J20" s="35"/>
    </row>
    <row r="21" spans="1:10" s="1" customFormat="1" ht="120.75" customHeight="1" x14ac:dyDescent="0.25">
      <c r="A21" s="19" t="s">
        <v>166</v>
      </c>
      <c r="B21" s="18" t="str">
        <f>VLOOKUP($A21,Questions!$A$2:$X$333,2,0)</f>
        <v>Are you using a web application firewall (WAF)?*</v>
      </c>
      <c r="C21" s="21"/>
      <c r="D21" s="316"/>
      <c r="E21" s="167" t="str">
        <f>IF($C$18='Auto Responses'!$J$4,'Auto Responses'!$A$3,IF($C21='Auto Responses'!$J$3,VLOOKUP($A21,Questions!$A$2:$X$333,17,0)&amp;"",IF($C21='Auto Responses'!$J$4,VLOOKUP($A21,Questions!$A$2:$X$333,16,0)&amp;"",VLOOKUP($A21,Questions!$A$2:$X$333,15,0)&amp;"")))</f>
        <v/>
      </c>
      <c r="F21" s="201" t="str">
        <f>VLOOKUP($A21,'Institution Evaluation'!$A$56:$F$345,6,0)&amp;""</f>
        <v/>
      </c>
      <c r="I21" s="35"/>
      <c r="J21" s="35"/>
    </row>
    <row r="22" spans="1:10" s="1" customFormat="1" ht="136.80000000000001" customHeight="1" x14ac:dyDescent="0.25">
      <c r="A22" s="19" t="s">
        <v>170</v>
      </c>
      <c r="B22" s="18" t="str">
        <f>VLOOKUP($A22,Questions!$A$2:$X$333,2,0)</f>
        <v>Are only currently supported operating system(s), software, and libraries leveraged by the system(s)/application(s) that will have access to institution's data?*</v>
      </c>
      <c r="C22" s="21" t="s">
        <v>40</v>
      </c>
      <c r="D22" s="316" t="s">
        <v>2027</v>
      </c>
      <c r="E22" s="167" t="str">
        <f>IF($C$18='Auto Responses'!$J$4,'Auto Responses'!$A$3,IF($C22='Auto Responses'!$J$3,VLOOKUP($A22,Questions!$A$2:$X$333,17,0)&amp;"",IF($C22='Auto Responses'!$J$4,VLOOKUP($A22,Questions!$A$2:$X$333,16,0)&amp;"",VLOOKUP($A22,Questions!$A$2:$X$333,15,0)&amp;"")))</f>
        <v>Please provide a list of all required dependencies.</v>
      </c>
      <c r="F22" s="201" t="str">
        <f>VLOOKUP($A22,'Institution Evaluation'!$A$56:$F$345,6,0)&amp;""</f>
        <v/>
      </c>
      <c r="I22" s="35"/>
      <c r="J22" s="35"/>
    </row>
    <row r="23" spans="1:10" s="1" customFormat="1" ht="69" x14ac:dyDescent="0.25">
      <c r="A23" s="19" t="s">
        <v>175</v>
      </c>
      <c r="B23" s="18" t="str">
        <f>VLOOKUP($A23,Questions!$A$2:$X$333,2,0)</f>
        <v>Does your application require access to location or GPS data?*</v>
      </c>
      <c r="C23" s="21" t="s">
        <v>148</v>
      </c>
      <c r="D23" s="316" t="s">
        <v>2028</v>
      </c>
      <c r="E23" s="167" t="str">
        <f>IF($C$18='Auto Responses'!$J$4,'Auto Responses'!$A$3,IF($C23='Auto Responses'!$J$3,VLOOKUP($A23,Questions!$A$2:$X$333,17,0)&amp;"",IF($C23='Auto Responses'!$J$4,VLOOKUP($A23,Questions!$A$2:$X$333,16,0)&amp;"",VLOOKUP($A23,Questions!$A$2:$X$333,15,0)&amp;"")))</f>
        <v>Please indicate any future plans that would require access to this data</v>
      </c>
      <c r="F23" s="201" t="str">
        <f>VLOOKUP($A23,'Institution Evaluation'!$A$56:$F$345,6,0)&amp;""</f>
        <v/>
      </c>
      <c r="I23" s="35"/>
      <c r="J23" s="35"/>
    </row>
    <row r="24" spans="1:10" s="1" customFormat="1" ht="193.2" x14ac:dyDescent="0.25">
      <c r="A24" s="19" t="s">
        <v>178</v>
      </c>
      <c r="B24" s="18" t="str">
        <f>VLOOKUP($A24,Questions!$A$2:$X$333,2,0)</f>
        <v>Does your application provide separation of duties between security administration, system administration, and standard user functions?*</v>
      </c>
      <c r="C24" s="21" t="s">
        <v>148</v>
      </c>
      <c r="D24" s="316" t="s">
        <v>2029</v>
      </c>
      <c r="E24" s="167" t="str">
        <f>IF($C$18='Auto Responses'!$J$4,'Auto Responses'!$A$3,IF($C24='Auto Responses'!$J$3,VLOOKUP($A24,Questions!$A$2:$X$333,17,0)&amp;"",IF($C24='Auto Responses'!$J$4,VLOOKUP($A24,Questions!$A$2:$X$333,16,0)&amp;"",VLOOKUP($A24,Questions!$A$2:$X$333,15,0)&amp;"")))</f>
        <v>State plans to implement functionality to provide separation of duties between security administration and system administration functions.</v>
      </c>
      <c r="F24" s="201" t="str">
        <f>VLOOKUP($A24,'Institution Evaluation'!$A$56:$F$345,6,0)&amp;""</f>
        <v/>
      </c>
      <c r="I24" s="35"/>
      <c r="J24" s="35"/>
    </row>
    <row r="25" spans="1:10" s="1" customFormat="1" ht="124.2" x14ac:dyDescent="0.25">
      <c r="A25" s="19" t="s">
        <v>182</v>
      </c>
      <c r="B25" s="18" t="str">
        <f>VLOOKUP($A25,Questions!$A$2:$X$333,2,0)</f>
        <v>Do you subject your code to static code analysis and/or static application security testing prior to release?*</v>
      </c>
      <c r="C25" s="21" t="s">
        <v>148</v>
      </c>
      <c r="D25" s="316" t="s">
        <v>2030</v>
      </c>
      <c r="E25" s="167" t="str">
        <f>IF($C$18='Auto Responses'!$J$4,'Auto Responses'!$A$3,IF($C25='Auto Responses'!$J$3,VLOOKUP($A25,Questions!$A$2:$X$333,17,0)&amp;"",IF($C25='Auto Responses'!$J$4,VLOOKUP($A25,Questions!$A$2:$X$333,16,0)&amp;"",VLOOKUP($A25,Questions!$A$2:$X$333,15,0)&amp;"")))</f>
        <v>State your plans to implement static code testing practices into your environment.</v>
      </c>
      <c r="F25" s="201" t="str">
        <f>VLOOKUP($A25,'Institution Evaluation'!$A$56:$F$345,6,0)&amp;""</f>
        <v/>
      </c>
      <c r="I25" s="35"/>
      <c r="J25" s="35"/>
    </row>
    <row r="26" spans="1:10" s="1" customFormat="1" ht="124.2" x14ac:dyDescent="0.25">
      <c r="A26" s="19" t="s">
        <v>186</v>
      </c>
      <c r="B26" s="18" t="str">
        <f>VLOOKUP($A26,Questions!$A$2:$X$333,2,0)</f>
        <v>Do you have software testing processes (dynamic or static) that are established and followed?*</v>
      </c>
      <c r="C26" s="21" t="s">
        <v>40</v>
      </c>
      <c r="D26" s="316" t="s">
        <v>2031</v>
      </c>
      <c r="E26" s="167" t="str">
        <f>IF($C$18='Auto Responses'!$J$4,'Auto Responses'!$A$3,IF($C26='Auto Responses'!$J$3,VLOOKUP($A26,Questions!$A$2:$X$333,17,0)&amp;"",IF($C26='Auto Responses'!$J$4,VLOOKUP($A26,Questions!$A$2:$X$333,16,0)&amp;"",VLOOKUP($A26,Questions!$A$2:$X$333,15,0)&amp;"")))</f>
        <v>Describe testing processes, including but not limited to, development of test plans, personnel involved in the testing process, and authorized individual accountable for approval and certification of test results.</v>
      </c>
      <c r="F26" s="201" t="str">
        <f>VLOOKUP($A26,'Institution Evaluation'!$A$56:$F$345,6,0)&amp;""</f>
        <v/>
      </c>
      <c r="I26" s="35"/>
      <c r="J26" s="35"/>
    </row>
    <row r="27" spans="1:10" s="1" customFormat="1" ht="124.2" x14ac:dyDescent="0.25">
      <c r="A27" s="19" t="s">
        <v>191</v>
      </c>
      <c r="B27" s="18" t="str">
        <f>VLOOKUP($A27,Questions!$A$2:$X$333,2,0)</f>
        <v>Are access controls for staff within your organization based on structured rules, such as RBAC, ABAC, or PBAC?</v>
      </c>
      <c r="C27" s="21" t="s">
        <v>40</v>
      </c>
      <c r="D27" s="316" t="s">
        <v>2032</v>
      </c>
      <c r="E27" s="167" t="str">
        <f>IF($C$18='Auto Responses'!$J$4,'Auto Responses'!$A$3,IF($C27='Auto Responses'!$J$3,VLOOKUP($A27,Questions!$A$2:$X$333,17,0)&amp;"",IF($C27='Auto Responses'!$J$4,VLOOKUP($A27,Questions!$A$2:$X$333,16,0)&amp;"",VLOOKUP($A27,Questions!$A$2:$X$333,15,0)&amp;"")))</f>
        <v>This includes system administrators and third-party personnel with access to the system. PBAC would include various dynamic controls such as conditional access, risk-based access, location-based access, or system activity–based access.</v>
      </c>
      <c r="F27" s="201" t="str">
        <f>VLOOKUP($A27,'Institution Evaluation'!$A$56:$F$345,6,0)&amp;""</f>
        <v/>
      </c>
      <c r="I27" s="35"/>
      <c r="J27" s="35"/>
    </row>
    <row r="28" spans="1:10" s="1" customFormat="1" ht="82.8" x14ac:dyDescent="0.25">
      <c r="A28" s="19" t="s">
        <v>195</v>
      </c>
      <c r="B28" s="18" t="str">
        <f>VLOOKUP($A28,Questions!$A$2:$X$333,2,0)</f>
        <v>Does the system provide data input validation and error messages?</v>
      </c>
      <c r="C28" s="21" t="s">
        <v>40</v>
      </c>
      <c r="D28" s="316" t="s">
        <v>2033</v>
      </c>
      <c r="E28" s="167" t="str">
        <f>IF($C$18='Auto Responses'!$J$4,'Auto Responses'!$A$3,IF($C28='Auto Responses'!$J$3,VLOOKUP($A28,Questions!$A$2:$X$333,17,0)&amp;"",IF($C28='Auto Responses'!$J$4,VLOOKUP($A28,Questions!$A$2:$X$333,16,0)&amp;"",VLOOKUP($A28,Questions!$A$2:$X$333,15,0)&amp;"")))</f>
        <v>Describe how your system(s) provide data input validation and error messages.</v>
      </c>
      <c r="F28" s="201" t="str">
        <f>VLOOKUP($A28,'Institution Evaluation'!$A$56:$F$345,6,0)&amp;""</f>
        <v/>
      </c>
      <c r="I28" s="35"/>
      <c r="J28" s="35"/>
    </row>
    <row r="29" spans="1:10" s="1" customFormat="1" ht="96.6" x14ac:dyDescent="0.25">
      <c r="A29" s="19" t="s">
        <v>198</v>
      </c>
      <c r="B29" s="18" t="str">
        <f>VLOOKUP($A29,Questions!$A$2:$X$333,2,0)</f>
        <v>Do you have a process and implemented procedures for managing your software supply chain (e.g., libraries, repositories, frameworks, etc.)?</v>
      </c>
      <c r="C29" s="21" t="s">
        <v>40</v>
      </c>
      <c r="D29" s="316" t="s">
        <v>2034</v>
      </c>
      <c r="E29" s="167" t="str">
        <f>IF($C$18='Auto Responses'!$J$4,'Auto Responses'!$A$3,IF($C29='Auto Responses'!$J$3,VLOOKUP($A29,Questions!$A$2:$X$333,17,0)&amp;"",IF($C29='Auto Responses'!$J$4,VLOOKUP($A29,Questions!$A$2:$X$333,16,0)&amp;"",VLOOKUP($A29,Questions!$A$2:$X$333,15,0)&amp;"")))</f>
        <v>Provide supporting documentation of your processes.</v>
      </c>
      <c r="F29" s="201" t="str">
        <f>VLOOKUP($A29,'Institution Evaluation'!$A$56:$F$345,6,0)&amp;""</f>
        <v/>
      </c>
      <c r="I29" s="35"/>
      <c r="J29" s="35"/>
    </row>
    <row r="30" spans="1:10" s="1" customFormat="1" ht="138" x14ac:dyDescent="0.25">
      <c r="A30" s="19" t="s">
        <v>202</v>
      </c>
      <c r="B30" s="18" t="str">
        <f>VLOOKUP($A30,Questions!$A$2:$X$333,2,0)</f>
        <v>Have your developers been trained in secure coding techniques?</v>
      </c>
      <c r="C30" s="21" t="s">
        <v>148</v>
      </c>
      <c r="D30" s="316" t="s">
        <v>2035</v>
      </c>
      <c r="E30" s="167" t="str">
        <f>IF($C$18='Auto Responses'!$J$4,'Auto Responses'!$A$3,IF($C30='Auto Responses'!$J$3,VLOOKUP($A30,Questions!$A$2:$X$333,17,0)&amp;"",IF($C30='Auto Responses'!$J$4,VLOOKUP($A30,Questions!$A$2:$X$333,16,0)&amp;"",VLOOKUP($A30,Questions!$A$2:$X$333,15,0)&amp;"")))</f>
        <v>State plans to implement a training program on industry standard secure coding practices.</v>
      </c>
      <c r="F30" s="201" t="str">
        <f>VLOOKUP($A30,'Institution Evaluation'!$A$56:$F$345,6,0)&amp;""</f>
        <v/>
      </c>
      <c r="I30" s="35"/>
      <c r="J30" s="35"/>
    </row>
    <row r="31" spans="1:10" s="1" customFormat="1" ht="138" x14ac:dyDescent="0.25">
      <c r="A31" s="19" t="s">
        <v>206</v>
      </c>
      <c r="B31" s="18" t="str">
        <f>VLOOKUP($A31,Questions!$A$2:$X$333,2,0)</f>
        <v>Was your application developed using secure coding techniques?</v>
      </c>
      <c r="C31" s="21" t="s">
        <v>40</v>
      </c>
      <c r="D31" s="317" t="s">
        <v>2036</v>
      </c>
      <c r="E31" s="167" t="str">
        <f>IF($C$18='Auto Responses'!$J$4,'Auto Responses'!$A$3,IF($C31='Auto Responses'!$J$3,VLOOKUP($A31,Questions!$A$2:$X$333,17,0)&amp;"",IF($C31='Auto Responses'!$J$4,VLOOKUP($A31,Questions!$A$2:$X$333,16,0)&amp;"",VLOOKUP($A31,Questions!$A$2:$X$333,15,0)&amp;"")))</f>
        <v>Summarize your secure coding practices.</v>
      </c>
      <c r="F31" s="201" t="str">
        <f>VLOOKUP($A31,'Institution Evaluation'!$A$56:$F$345,6,0)&amp;""</f>
        <v/>
      </c>
      <c r="I31" s="35"/>
      <c r="J31" s="35"/>
    </row>
    <row r="32" spans="1:10" s="1" customFormat="1" ht="124.2" x14ac:dyDescent="0.25">
      <c r="A32" s="19" t="s">
        <v>210</v>
      </c>
      <c r="B32" s="18" t="str">
        <f>VLOOKUP($A32,Questions!$A$2:$X$333,2,0)</f>
        <v>If mobile, is the application available from a trusted source (e.g., App Store, Google Play Store)?</v>
      </c>
      <c r="C32" s="21" t="s">
        <v>1527</v>
      </c>
      <c r="D32" s="317" t="s">
        <v>2037</v>
      </c>
      <c r="E32" s="167" t="str">
        <f>IF($C$18='Auto Responses'!$J$4,'Auto Responses'!$A$3,IF($C32='Auto Responses'!$J$3,VLOOKUP($A32,Questions!$A$2:$X$333,17,0)&amp;"",IF($C32='Auto Responses'!$J$4,VLOOKUP($A32,Questions!$A$2:$X$333,16,0)&amp;"",IF($C32='Auto Responses'!$J$5,VLOOKUP($A32,Questions!$A$2:$X$333,18,0)&amp;"",VLOOKUP($A32,Questions!$A$2:$X$333,15,0)&amp;""))))</f>
        <v>Please explain why this does not apply to your product or service.</v>
      </c>
      <c r="F32" s="201" t="str">
        <f>VLOOKUP($A32,'Institution Evaluation'!$A$56:$F$345,6,0)&amp;""</f>
        <v/>
      </c>
      <c r="I32" s="35"/>
      <c r="J32" s="35"/>
    </row>
    <row r="33" spans="1:10" s="1" customFormat="1" ht="138.6" thickBot="1" x14ac:dyDescent="0.3">
      <c r="A33" s="19" t="s">
        <v>213</v>
      </c>
      <c r="B33" s="18" t="str">
        <f>VLOOKUP($A33,Questions!$A$2:$X$333,2,0)</f>
        <v>Do you have a fully implemented policy or procedure that details how your employees obtain administrator access to institutional instance of the application?</v>
      </c>
      <c r="C33" s="21" t="s">
        <v>40</v>
      </c>
      <c r="D33" s="317" t="s">
        <v>2038</v>
      </c>
      <c r="E33" s="167" t="str">
        <f>IF($C$18='Auto Responses'!$J$4,'Auto Responses'!$A$3,IF($C33='Auto Responses'!$J$3,VLOOKUP($A33,Questions!$A$2:$X$333,17,0)&amp;"",IF($C33='Auto Responses'!$J$4,VLOOKUP($A33,Questions!$A$2:$X$333,16,0)&amp;"",VLOOKUP($A33,Questions!$A$2:$X$333,15,0)&amp;"")))</f>
        <v>Describe or provide a reference that details how administrator access is handled (e.g., provisioning, principle of least privilege, deprovisioning, etc.).</v>
      </c>
      <c r="F33" s="201" t="str">
        <f>VLOOKUP($A33,'Institution Evaluation'!$A$56:$F$345,6,0)&amp;""</f>
        <v/>
      </c>
      <c r="G33" s="238" t="s">
        <v>1449</v>
      </c>
      <c r="I33" s="35"/>
      <c r="J33" s="35"/>
    </row>
    <row r="34" spans="1:10" s="1" customFormat="1" ht="37.35" customHeight="1" thickBot="1" x14ac:dyDescent="0.3">
      <c r="A34" s="63" t="str">
        <f>VLOOKUP(LEFT($A35,4),'Auto Responses'!$N$4:$O$38,2,0)&amp;""</f>
        <v xml:space="preserve"> Datacenter</v>
      </c>
      <c r="B34" s="22"/>
      <c r="C34" s="13" t="s">
        <v>1497</v>
      </c>
      <c r="D34" s="13" t="s">
        <v>72</v>
      </c>
      <c r="E34" s="31" t="s">
        <v>848</v>
      </c>
      <c r="F34" s="187" t="s">
        <v>849</v>
      </c>
      <c r="I34" s="35"/>
      <c r="J34" s="35"/>
    </row>
    <row r="35" spans="1:10" s="1" customFormat="1" ht="84" customHeight="1" x14ac:dyDescent="0.25">
      <c r="A35" s="19" t="s">
        <v>407</v>
      </c>
      <c r="B35" s="18" t="str">
        <f>VLOOKUP($A35,Questions!$A$2:$X$333,2,0)</f>
        <v>Select your hosting option.</v>
      </c>
      <c r="C35" s="74" t="s">
        <v>862</v>
      </c>
      <c r="D35" s="317" t="s">
        <v>2039</v>
      </c>
      <c r="E35" s="167" t="str">
        <f>IF(OR($C35="",$C35="Other"),VLOOKUP($A35,Questions!$A$2:$X$333,15,0),"")&amp;""</f>
        <v/>
      </c>
      <c r="F35" s="201" t="str">
        <f>VLOOKUP($A35,'Institution Evaluation'!$A$56:$F$345,6,0)&amp;""</f>
        <v/>
      </c>
      <c r="I35" s="35"/>
      <c r="J35" s="35"/>
    </row>
    <row r="36" spans="1:10" s="1" customFormat="1" ht="55.2" x14ac:dyDescent="0.25">
      <c r="A36" s="19" t="s">
        <v>412</v>
      </c>
      <c r="B36" s="18" t="str">
        <f>VLOOKUP($A36,Questions!$A$2:$X$333,2,0)</f>
        <v>Is a SOC 2 Type 2 report available for the hosting environment?</v>
      </c>
      <c r="C36" s="21" t="s">
        <v>40</v>
      </c>
      <c r="D36" s="317" t="s">
        <v>2040</v>
      </c>
      <c r="E36" s="167" t="str">
        <f>IF($C$35="","",IF(OR($C$35='Auto Responses'!$J$20,$C$35='Auto Responses'!$J$21,$C$35='Auto Responses'!$J$22),'Auto Responses'!$A$26,IF($C36='Auto Responses'!$J$3,VLOOKUP($A36,Questions!$A$2:$X$333,17,0)&amp;"",IF($C36='Auto Responses'!$J$4,VLOOKUP($A36,Questions!$A$2:$X$333,16,0)&amp;"",VLOOKUP($A36,Questions!$A$2:$X$333,15,0)&amp;""))))</f>
        <v>Based on the response to DCTR-01, this question does not apply to this product or service.</v>
      </c>
      <c r="F36" s="201" t="str">
        <f>VLOOKUP($A36,'Institution Evaluation'!$A$56:$F$345,6,0)&amp;""</f>
        <v/>
      </c>
      <c r="I36" s="35"/>
      <c r="J36" s="35"/>
    </row>
    <row r="37" spans="1:10" s="1" customFormat="1" ht="110.4" x14ac:dyDescent="0.25">
      <c r="A37" s="19" t="s">
        <v>414</v>
      </c>
      <c r="B37" s="18" t="str">
        <f>VLOOKUP($A37,Questions!$A$2:$X$333,2,0)</f>
        <v>Are you generally able to accommodate storing each institution's data within its geographic region?</v>
      </c>
      <c r="C37" s="21" t="s">
        <v>40</v>
      </c>
      <c r="D37" s="317" t="s">
        <v>2041</v>
      </c>
      <c r="E37" s="167" t="str">
        <f>IF($C$35="","",IF($C37='Auto Responses'!$J$3,VLOOKUP($A37,Questions!$A$2:$X$333,17,0)&amp;"",IF($C37='Auto Responses'!$J$4,VLOOKUP($A37,Questions!$A$2:$X$333,16,0)&amp;"",VLOOKUP($A37,Questions!$A$2:$X$333,15,0)&amp;"")))</f>
        <v>Please indicate which geographic regions you can provide storage in the Additional Info column.</v>
      </c>
      <c r="F37" s="201" t="str">
        <f>VLOOKUP($A37,'Institution Evaluation'!$A$56:$F$345,6,0)&amp;""</f>
        <v/>
      </c>
      <c r="I37" s="35"/>
      <c r="J37" s="35"/>
    </row>
    <row r="38" spans="1:10" s="1" customFormat="1" ht="53.25" customHeight="1" x14ac:dyDescent="0.25">
      <c r="A38" s="19" t="s">
        <v>417</v>
      </c>
      <c r="B38" s="18" t="str">
        <f>VLOOKUP($A38,Questions!$A$2:$X$333,2,0)</f>
        <v>Are the data centers staffed 24 hours a day, seven days a week (i.e., 24 x 7 x 365)?</v>
      </c>
      <c r="C38" s="21" t="s">
        <v>40</v>
      </c>
      <c r="D38" s="317" t="s">
        <v>2042</v>
      </c>
      <c r="E38" s="167" t="str">
        <f>IF($C$35="","",IF(OR($C$35='Auto Responses'!$J$20,$C$35='Auto Responses'!$J$21,$C$35='Auto Responses'!$J$22),'Auto Responses'!$A$26,IF($C38='Auto Responses'!$J$3,VLOOKUP($A38,Questions!$A$2:$X$333,17,0)&amp;"",IF($C38='Auto Responses'!$J$4,VLOOKUP($A38,Questions!$A$2:$X$333,16,0)&amp;"",VLOOKUP($A38,Questions!$A$2:$X$333,15,0)&amp;""))))</f>
        <v>Based on the response to DCTR-01, this question does not apply to this product or service.</v>
      </c>
      <c r="F38" s="201" t="str">
        <f>VLOOKUP($A38,'Institution Evaluation'!$A$56:$F$345,6,0)&amp;""</f>
        <v/>
      </c>
      <c r="I38" s="35"/>
      <c r="J38" s="35"/>
    </row>
    <row r="39" spans="1:10" s="1" customFormat="1" ht="55.5" customHeight="1" x14ac:dyDescent="0.25">
      <c r="A39" s="19" t="s">
        <v>422</v>
      </c>
      <c r="B39" s="18" t="str">
        <f>VLOOKUP($A39,Questions!$A$2:$X$333,2,0)</f>
        <v>Are your servers separated from other companies via a physical barrier, such as a cage or hard walls?</v>
      </c>
      <c r="C39" s="21" t="s">
        <v>40</v>
      </c>
      <c r="D39" s="317" t="s">
        <v>2043</v>
      </c>
      <c r="E39" s="167" t="str">
        <f>IF($C$35="","",IF(OR($C$35='Auto Responses'!$J$17,$C$35='Auto Responses'!$J$19,$C$35='Auto Responses'!$J$20,$C$35='Auto Responses'!$J$21,$C$35='Auto Responses'!$J$22),'Auto Responses'!$A$26,IF($C39='Auto Responses'!$J$3,VLOOKUP($A39,Questions!$A$2:$X$333,17,0)&amp;"",IF($C39='Auto Responses'!$J$4,VLOOKUP($A39,Questions!$A$2:$X$333,16,0)&amp;"",VLOOKUP($A39,Questions!$A$2:$X$333,15,0)&amp;""))))</f>
        <v>Based on the response to DCTR-01, this question does not apply to this product or service.</v>
      </c>
      <c r="F39" s="201" t="str">
        <f>VLOOKUP($A39,'Institution Evaluation'!$A$56:$F$345,6,0)&amp;""</f>
        <v/>
      </c>
      <c r="I39" s="35"/>
      <c r="J39" s="35"/>
    </row>
    <row r="40" spans="1:10" s="1" customFormat="1" ht="56.25" customHeight="1" x14ac:dyDescent="0.25">
      <c r="A40" s="19" t="s">
        <v>425</v>
      </c>
      <c r="B40" s="18" t="str">
        <f>VLOOKUP($A40,Questions!$A$2:$X$333,2,0)</f>
        <v>Does a physical barrier fully enclose the physical space, preventing unauthorized physical contact with any of your devices?*</v>
      </c>
      <c r="C40" s="21" t="s">
        <v>40</v>
      </c>
      <c r="D40" s="317" t="s">
        <v>2044</v>
      </c>
      <c r="E40" s="167" t="str">
        <f>IF($C$35="","",IF(OR($C$35='Auto Responses'!$J$19,$C$35='Auto Responses'!$J$20,$C$35='Auto Responses'!$J$21,$C$35='Auto Responses'!$J$22),'Auto Responses'!$A$26,IF($C40='Auto Responses'!$J$3,VLOOKUP($A40,Questions!$A$2:$X$333,17,0)&amp;"",IF($C40='Auto Responses'!$J$4,VLOOKUP($A40,Questions!$A$2:$X$333,16,0)&amp;"",VLOOKUP($A40,Questions!$A$2:$X$333,15,0)&amp;""))))</f>
        <v>Based on the response to DCTR-01, this question does not apply to this product or service.</v>
      </c>
      <c r="F40" s="201" t="str">
        <f>VLOOKUP($A40,'Institution Evaluation'!$A$56:$F$345,6,0)&amp;""</f>
        <v/>
      </c>
      <c r="I40" s="35"/>
      <c r="J40" s="35"/>
    </row>
    <row r="41" spans="1:10" s="1" customFormat="1" ht="96.6" x14ac:dyDescent="0.25">
      <c r="A41" s="19" t="s">
        <v>427</v>
      </c>
      <c r="B41" s="18" t="str">
        <f>VLOOKUP($A41,Questions!$A$2:$X$333,2,0)</f>
        <v>Are your primary and secondary data centers geographically diverse?</v>
      </c>
      <c r="C41" s="21" t="s">
        <v>40</v>
      </c>
      <c r="D41" s="317" t="s">
        <v>2045</v>
      </c>
      <c r="E41" s="167" t="str">
        <f>IF($C$35="","",IF($C41='Auto Responses'!$J$3,VLOOKUP($A41,Questions!$A$2:$X$333,17,0)&amp;"",IF($C41='Auto Responses'!$J$4,VLOOKUP($A41,Questions!$A$2:$X$333,16,0)&amp;"",VLOOKUP($A41,Questions!$A$2:$X$333,15,0)&amp;"")))</f>
        <v>State your primary and secondary data center locations. For cloud infrastructures, state the primary and secondary zones.</v>
      </c>
      <c r="F41" s="201" t="str">
        <f>VLOOKUP($A41,'Institution Evaluation'!$A$56:$F$345,6,0)&amp;""</f>
        <v/>
      </c>
      <c r="I41" s="35"/>
      <c r="J41" s="35"/>
    </row>
    <row r="42" spans="1:10" s="1" customFormat="1" ht="69" x14ac:dyDescent="0.25">
      <c r="A42" s="19" t="s">
        <v>432</v>
      </c>
      <c r="B42" s="18" t="str">
        <f>VLOOKUP($A42,Questions!$A$2:$X$333,2,0)</f>
        <v>Is the service hosted in a high-availability environment?</v>
      </c>
      <c r="C42" s="21" t="s">
        <v>40</v>
      </c>
      <c r="D42" s="317" t="s">
        <v>2046</v>
      </c>
      <c r="E42" s="167" t="str">
        <f>IF($C$35="","",IF($C42='Auto Responses'!$J$3,VLOOKUP($A42,Questions!$A$2:$X$333,17,0)&amp;"",IF($C42='Auto Responses'!$J$4,VLOOKUP($A42,Questions!$A$2:$X$333,16,0)&amp;"",VLOOKUP($A42,Questions!$A$2:$X$333,15,0)&amp;"")))</f>
        <v>Provide a summary to support your response selection.</v>
      </c>
      <c r="F42" s="201" t="str">
        <f>VLOOKUP($A42,'Institution Evaluation'!$A$56:$F$345,6,0)&amp;""</f>
        <v/>
      </c>
      <c r="I42" s="35"/>
      <c r="J42" s="35"/>
    </row>
    <row r="43" spans="1:10" s="1" customFormat="1" ht="55.5" customHeight="1" x14ac:dyDescent="0.25">
      <c r="A43" s="19" t="s">
        <v>433</v>
      </c>
      <c r="B43" s="18" t="str">
        <f>VLOOKUP($A43,Questions!$A$2:$X$333,2,0)</f>
        <v>Is redundant power available for all data centers where institutional data will reside?</v>
      </c>
      <c r="C43" s="21" t="s">
        <v>40</v>
      </c>
      <c r="D43" s="317" t="s">
        <v>2047</v>
      </c>
      <c r="E43" s="167" t="str">
        <f>IF($C$35="","",IF(OR($C$35='Auto Responses'!$J$20,$C$35='Auto Responses'!$J$21,$C$35='Auto Responses'!$J$22),'Auto Responses'!$A$26,IF($C43='Auto Responses'!$J$3,VLOOKUP($A43,Questions!$A$2:$X$333,17,0)&amp;"",IF($C43='Auto Responses'!$J$4,VLOOKUP($A43,Questions!$A$2:$X$333,16,0)&amp;"",VLOOKUP($A43,Questions!$A$2:$X$333,15,0)&amp;""))))</f>
        <v>Based on the response to DCTR-01, this question does not apply to this product or service.</v>
      </c>
      <c r="F43" s="201" t="str">
        <f>VLOOKUP($A43,'Institution Evaluation'!$A$56:$F$345,6,0)&amp;""</f>
        <v/>
      </c>
      <c r="I43" s="35"/>
      <c r="J43" s="35"/>
    </row>
    <row r="44" spans="1:10" s="1" customFormat="1" ht="56.25" customHeight="1" x14ac:dyDescent="0.25">
      <c r="A44" s="19" t="s">
        <v>434</v>
      </c>
      <c r="B44" s="18" t="str">
        <f>VLOOKUP($A44,Questions!$A$2:$X$333,2,0)</f>
        <v>Are redundant power strategies tested?*</v>
      </c>
      <c r="C44" s="21" t="s">
        <v>40</v>
      </c>
      <c r="D44" s="317" t="s">
        <v>2048</v>
      </c>
      <c r="E44" s="167" t="str">
        <f>IF($C$35="","",IF(OR($C$35='Auto Responses'!$J$20,$C$35='Auto Responses'!$J$21,$C$35='Auto Responses'!$J$22),'Auto Responses'!$A$26,IF($C44='Auto Responses'!$J$3,VLOOKUP($A44,Questions!$A$2:$X$333,17,0)&amp;"",IF($C44='Auto Responses'!$J$4,VLOOKUP($A44,Questions!$A$2:$X$333,16,0)&amp;"",VLOOKUP($A44,Questions!$A$2:$X$333,15,0)&amp;""))))</f>
        <v>Based on the response to DCTR-01, this question does not apply to this product or service.</v>
      </c>
      <c r="F44" s="201" t="str">
        <f>VLOOKUP($A44,'Institution Evaluation'!$A$56:$F$345,6,0)&amp;""</f>
        <v/>
      </c>
      <c r="I44" s="35"/>
      <c r="J44" s="35"/>
    </row>
    <row r="45" spans="1:10" s="1" customFormat="1" ht="60" customHeight="1" x14ac:dyDescent="0.25">
      <c r="A45" s="19" t="s">
        <v>439</v>
      </c>
      <c r="B45" s="18" t="str">
        <f>VLOOKUP($A45,Questions!$A$2:$X$333,2,0)</f>
        <v>Does the center where the data will reside have cooling and fire-suppression systems that are active and regularly tested?</v>
      </c>
      <c r="C45" s="21" t="s">
        <v>40</v>
      </c>
      <c r="D45" s="317" t="s">
        <v>2049</v>
      </c>
      <c r="E45" s="167" t="str">
        <f>IF($C$35="","",IF(OR($C$35='Auto Responses'!$J$19,$C$35='Auto Responses'!$J$20,$C$35='Auto Responses'!$J$21,$C$35='Auto Responses'!$J$22,$C$35='Auto Responses'!$J$23),'Auto Responses'!$A$26,IF($C45='Auto Responses'!$J$3,VLOOKUP($A45,Questions!$A$2:$X$333,17,0)&amp;"",IF($C45='Auto Responses'!$J$4,VLOOKUP($A45,Questions!$A$2:$X$333,16,0)&amp;"",VLOOKUP($A45,Questions!$A$2:$X$333,15,0)&amp;""))))</f>
        <v>Based on the response to DCTR-01, this question does not apply to this product or service.</v>
      </c>
      <c r="F45" s="201" t="str">
        <f>VLOOKUP($A45,'Institution Evaluation'!$A$56:$F$345,6,0)&amp;""</f>
        <v/>
      </c>
      <c r="I45" s="35"/>
      <c r="J45" s="35"/>
    </row>
    <row r="46" spans="1:10" s="1" customFormat="1" ht="55.5" customHeight="1" x14ac:dyDescent="0.25">
      <c r="A46" s="19" t="s">
        <v>442</v>
      </c>
      <c r="B46" s="18" t="str">
        <f>VLOOKUP($A46,Questions!$A$2:$X$333,2,0)</f>
        <v>Do you have Internet Service Provider (ISP) redundancy?</v>
      </c>
      <c r="C46" s="21" t="s">
        <v>40</v>
      </c>
      <c r="D46" s="317" t="s">
        <v>2050</v>
      </c>
      <c r="E46" s="167" t="str">
        <f>IF($C$35="","",IF(OR($C$35='Auto Responses'!$J$20,$C$35='Auto Responses'!$J$21,$C$35='Auto Responses'!$J$22),'Auto Responses'!$A$26,IF($C46='Auto Responses'!$J$3,VLOOKUP($A46,Questions!$A$2:$X$333,17,0)&amp;"",IF($C46='Auto Responses'!$J$4,VLOOKUP($A46,Questions!$A$2:$X$333,16,0)&amp;"",VLOOKUP($A46,Questions!$A$2:$X$333,15,0)&amp;""))))</f>
        <v>Based on the response to DCTR-01, this question does not apply to this product or service.</v>
      </c>
      <c r="F46" s="201" t="str">
        <f>VLOOKUP($A46,'Institution Evaluation'!$A$56:$F$345,6,0)&amp;""</f>
        <v/>
      </c>
      <c r="I46" s="35"/>
      <c r="J46" s="35"/>
    </row>
    <row r="47" spans="1:10" s="1" customFormat="1" ht="56.25" customHeight="1" x14ac:dyDescent="0.25">
      <c r="A47" s="19" t="s">
        <v>446</v>
      </c>
      <c r="B47" s="18" t="str">
        <f>VLOOKUP($A47,Questions!$A$2:$X$333,2,0)</f>
        <v>Does every data center where the institution's data will reside have multiple telephone company or network provider entrances to the facility?</v>
      </c>
      <c r="C47" s="21" t="s">
        <v>40</v>
      </c>
      <c r="D47" s="317" t="s">
        <v>2051</v>
      </c>
      <c r="E47" s="167" t="str">
        <f>IF($C$35="","",IF(OR($C$35='Auto Responses'!$J$20,$C$35='Auto Responses'!$J$21,$C$35='Auto Responses'!$J$22),'Auto Responses'!$A$26,IF($C47='Auto Responses'!$J$3,VLOOKUP($A47,Questions!$A$2:$X$333,17,0)&amp;"",IF($C47='Auto Responses'!$J$4,VLOOKUP($A47,Questions!$A$2:$X$333,16,0)&amp;"",VLOOKUP($A47,Questions!$A$2:$X$333,15,0)&amp;""))))</f>
        <v>Based on the response to DCTR-01, this question does not apply to this product or service.</v>
      </c>
      <c r="F47" s="201" t="str">
        <f>VLOOKUP($A47,'Institution Evaluation'!$A$56:$F$345,6,0)&amp;""</f>
        <v/>
      </c>
      <c r="I47" s="35"/>
      <c r="J47" s="35"/>
    </row>
    <row r="48" spans="1:10" s="1" customFormat="1" ht="110.4" x14ac:dyDescent="0.25">
      <c r="A48" s="19" t="s">
        <v>448</v>
      </c>
      <c r="B48" s="18" t="str">
        <f>VLOOKUP($A48,Questions!$A$2:$X$333,2,0)</f>
        <v>Do you require multifactor authentication for all administrative accounts in your environment?</v>
      </c>
      <c r="C48" s="21" t="s">
        <v>40</v>
      </c>
      <c r="D48" s="317" t="s">
        <v>2052</v>
      </c>
      <c r="E48" s="167" t="str">
        <f>IF($C$35="","",IF($C48='Auto Responses'!$J$3,VLOOKUP($A48,Questions!$A$2:$X$333,17,0)&amp;"",IF($C48='Auto Responses'!$J$4,VLOOKUP($A48,Questions!$A$2:$X$333,16,0)&amp;"",VLOOKUP($A48,Questions!$A$2:$X$333,15,0)&amp;"")))</f>
        <v>State which model of MFA you are using.</v>
      </c>
      <c r="F48" s="201" t="str">
        <f>VLOOKUP($A48,'Institution Evaluation'!$A$56:$F$345,6,0)&amp;""</f>
        <v/>
      </c>
      <c r="I48" s="35"/>
      <c r="J48" s="35"/>
    </row>
    <row r="49" spans="1:10" s="1" customFormat="1" ht="96.6" x14ac:dyDescent="0.25">
      <c r="A49" s="19" t="s">
        <v>452</v>
      </c>
      <c r="B49" s="18" t="str">
        <f>VLOOKUP($A49,Questions!$A$2:$X$333,2,0)</f>
        <v>Are you using your cloud provider's available hardening tools or pre-hardened images?</v>
      </c>
      <c r="C49" s="21" t="s">
        <v>40</v>
      </c>
      <c r="D49" s="317" t="s">
        <v>2053</v>
      </c>
      <c r="E49" s="167" t="str">
        <f>IF($C$35="","",IF(OR($C$35='Auto Responses'!$J$17,$C$35='Auto Responses'!$J$18),'Auto Responses'!$A$26,IF($C49='Auto Responses'!$J$3,VLOOKUP($A49,Questions!$A$2:$X$333,17,0)&amp;"",IF($C49='Auto Responses'!$J$4,VLOOKUP($A49,Questions!$A$2:$X$333,16,0)&amp;"",VLOOKUP($A49,Questions!$A$2:$X$333,15,0)&amp;""))))</f>
        <v/>
      </c>
      <c r="F49" s="201" t="str">
        <f>VLOOKUP($A49,'Institution Evaluation'!$A$56:$F$345,6,0)&amp;""</f>
        <v/>
      </c>
      <c r="I49" s="35"/>
      <c r="J49" s="35"/>
    </row>
    <row r="50" spans="1:10" s="1" customFormat="1" ht="83.4" thickBot="1" x14ac:dyDescent="0.3">
      <c r="A50" s="19" t="s">
        <v>456</v>
      </c>
      <c r="B50" s="18" t="str">
        <f>VLOOKUP($A50,Questions!$A$2:$X$333,2,0)</f>
        <v>Does your cloud solution provider have access to your encryption keys?</v>
      </c>
      <c r="C50" s="21" t="s">
        <v>148</v>
      </c>
      <c r="D50" s="317" t="s">
        <v>2054</v>
      </c>
      <c r="E50" s="167" t="str">
        <f>IF($C$35="","",IF(OR($C$35='Auto Responses'!$J$17,$C$35='Auto Responses'!$J$18),'Auto Responses'!$A$26,IF($C50='Auto Responses'!$J$3,VLOOKUP($A50,Questions!$A$2:$X$333,17,0)&amp;"",IF($C50='Auto Responses'!$J$4,VLOOKUP($A50,Questions!$A$2:$X$333,16,0)&amp;"",VLOOKUP($A50,Questions!$A$2:$X$333,15,0)&amp;""))))</f>
        <v>Describe your key management practices.</v>
      </c>
      <c r="F50" s="201" t="str">
        <f>VLOOKUP($A50,'Institution Evaluation'!$A$56:$F$345,6,0)&amp;""</f>
        <v/>
      </c>
      <c r="I50" s="35"/>
      <c r="J50" s="35"/>
    </row>
    <row r="51" spans="1:10" s="1" customFormat="1" ht="37.35" customHeight="1" thickBot="1" x14ac:dyDescent="0.3">
      <c r="A51" s="63" t="str">
        <f>VLOOKUP(LEFT($A52,4),'Auto Responses'!$N$4:$O$38,2,0)&amp;""</f>
        <v xml:space="preserve"> Firewalls, IDS, IPS, and Networking</v>
      </c>
      <c r="B51" s="22"/>
      <c r="C51" s="13" t="s">
        <v>1497</v>
      </c>
      <c r="D51" s="13" t="s">
        <v>72</v>
      </c>
      <c r="E51" s="31" t="s">
        <v>848</v>
      </c>
      <c r="F51" s="187" t="s">
        <v>849</v>
      </c>
      <c r="I51" s="35"/>
      <c r="J51" s="35"/>
    </row>
    <row r="52" spans="1:10" s="1" customFormat="1" ht="69" x14ac:dyDescent="0.25">
      <c r="A52" s="19" t="s">
        <v>462</v>
      </c>
      <c r="B52" s="18" t="str">
        <f>VLOOKUP($A52,Questions!$A$2:$X$333,2,0)</f>
        <v>Are you utilizing a stateful packet inspection (SPI) firewall?*</v>
      </c>
      <c r="C52" s="21" t="s">
        <v>40</v>
      </c>
      <c r="D52" s="317" t="s">
        <v>2055</v>
      </c>
      <c r="E52" s="167" t="str">
        <f>IF($C$18='Auto Responses'!$J$4,'Auto Responses'!$A$3,IF($C52='Auto Responses'!$J$3,VLOOKUP($A52,Questions!$A$2:$X$333,17,0)&amp;"",IF($C52='Auto Responses'!$J$4,VLOOKUP($A52,Questions!$A$2:$X$333,16,0)&amp;"",VLOOKUP($A52,Questions!$A$2:$X$333,15,0)&amp;"")))</f>
        <v>Describe the currently implemented SPI firewall.</v>
      </c>
      <c r="F52" s="201" t="str">
        <f>VLOOKUP($A52,'Institution Evaluation'!$A$56:$F$345,6,0)&amp;""</f>
        <v/>
      </c>
      <c r="I52" s="35"/>
      <c r="J52" s="35"/>
    </row>
    <row r="53" spans="1:10" s="1" customFormat="1" ht="96.6" x14ac:dyDescent="0.25">
      <c r="A53" s="19" t="s">
        <v>465</v>
      </c>
      <c r="B53" s="18" t="str">
        <f>VLOOKUP($A53,Questions!$A$2:$X$333,2,0)</f>
        <v>Do you have a documented policy for firewall change requests?*</v>
      </c>
      <c r="C53" s="21" t="s">
        <v>40</v>
      </c>
      <c r="D53" s="317" t="s">
        <v>2056</v>
      </c>
      <c r="E53" s="167" t="str">
        <f>IF($C$18='Auto Responses'!$J$4,'Auto Responses'!$A$3,IF($C53='Auto Responses'!$J$3,VLOOKUP($A53,Questions!$A$2:$X$333,17,0)&amp;"",IF($C53='Auto Responses'!$J$4,VLOOKUP($A53,Questions!$A$2:$X$333,16,0)&amp;"",VLOOKUP($A53,Questions!$A$2:$X$333,15,0)&amp;"")))</f>
        <v>Describe your documented firewall change request policy.</v>
      </c>
      <c r="F53" s="201" t="str">
        <f>VLOOKUP($A53,'Institution Evaluation'!$A$56:$F$345,6,0)&amp;""</f>
        <v/>
      </c>
      <c r="I53" s="35"/>
      <c r="J53" s="35"/>
    </row>
    <row r="54" spans="1:10" s="1" customFormat="1" ht="124.2" x14ac:dyDescent="0.25">
      <c r="A54" s="19" t="s">
        <v>470</v>
      </c>
      <c r="B54" s="18" t="str">
        <f>VLOOKUP($A54,Questions!$A$2:$X$333,2,0)</f>
        <v>Have you implemented an intrusion detection system (network-based)?*</v>
      </c>
      <c r="C54" s="21" t="s">
        <v>148</v>
      </c>
      <c r="D54" s="317" t="s">
        <v>2057</v>
      </c>
      <c r="E54" s="167" t="str">
        <f>IF($C$18='Auto Responses'!$J$4,'Auto Responses'!$A$3,IF($C54='Auto Responses'!$J$3,VLOOKUP($A54,Questions!$A$2:$X$333,17,0)&amp;"",IF($C54='Auto Responses'!$J$4,VLOOKUP($A54,Questions!$A$2:$X$333,16,0)&amp;"",VLOOKUP($A54,Questions!$A$2:$X$333,15,0)&amp;"")))</f>
        <v>Describe your plan to implement an intrusion detection system in your environment.</v>
      </c>
      <c r="F54" s="201" t="str">
        <f>VLOOKUP($A54,'Institution Evaluation'!$A$56:$F$345,6,0)&amp;""</f>
        <v/>
      </c>
      <c r="I54" s="35"/>
      <c r="J54" s="35"/>
    </row>
    <row r="55" spans="1:10" s="1" customFormat="1" ht="110.4" x14ac:dyDescent="0.25">
      <c r="A55" s="19" t="s">
        <v>475</v>
      </c>
      <c r="B55" s="18" t="str">
        <f>VLOOKUP($A55,Questions!$A$2:$X$333,2,0)</f>
        <v>Do you employ host-based intrusion detection?*</v>
      </c>
      <c r="C55" s="21" t="s">
        <v>148</v>
      </c>
      <c r="D55" s="317" t="s">
        <v>2058</v>
      </c>
      <c r="E55" s="167" t="str">
        <f>IF($C$18='Auto Responses'!$J$4,'Auto Responses'!$A$3,IF($C55='Auto Responses'!$J$3,VLOOKUP($A55,Questions!$A$2:$X$333,17,0)&amp;"",IF($C55='Auto Responses'!$J$4,VLOOKUP($A55,Questions!$A$2:$X$333,16,0)&amp;"",IF($C55='Auto Responses'!$J$5,VLOOKUP($A55,Questions!$A$2:$X$333,18,0)&amp;"",VLOOKUP($A55,Questions!$A$2:$X$333,15,0)&amp;""))))</f>
        <v>Describe your plan to implement host-based intrusion detection system capabilities in your environment.</v>
      </c>
      <c r="F55" s="201" t="str">
        <f>VLOOKUP($A55,'Institution Evaluation'!$A$56:$F$345,6,0)&amp;""</f>
        <v/>
      </c>
      <c r="I55" s="35"/>
      <c r="J55" s="35"/>
    </row>
    <row r="56" spans="1:10" s="1" customFormat="1" ht="124.2" x14ac:dyDescent="0.25">
      <c r="A56" s="19" t="s">
        <v>478</v>
      </c>
      <c r="B56" s="18" t="str">
        <f>VLOOKUP($A56,Questions!$A$2:$X$333,2,0)</f>
        <v>Are audit logs available for all changes to the network, firewall, IDS, and IPS systems?*</v>
      </c>
      <c r="C56" s="21" t="s">
        <v>40</v>
      </c>
      <c r="D56" s="317" t="s">
        <v>2059</v>
      </c>
      <c r="E56" s="167" t="str">
        <f>IF($C$18='Auto Responses'!$J$4,'Auto Responses'!$A$3,IF($C56='Auto Responses'!$J$3,VLOOKUP($A56,Questions!$A$2:$X$333,17,0)&amp;"",IF($C56='Auto Responses'!$J$4,VLOOKUP($A56,Questions!$A$2:$X$333,16,0)&amp;"",VLOOKUP($A56,Questions!$A$2:$X$333,15,0)&amp;"")))</f>
        <v>Describe your current network systems logging strategy.</v>
      </c>
      <c r="F56" s="201" t="str">
        <f>VLOOKUP($A56,'Institution Evaluation'!$A$56:$F$345,6,0)&amp;""</f>
        <v/>
      </c>
      <c r="I56" s="35"/>
      <c r="J56" s="35"/>
    </row>
    <row r="57" spans="1:10" s="1" customFormat="1" ht="110.4" x14ac:dyDescent="0.25">
      <c r="A57" s="19" t="s">
        <v>480</v>
      </c>
      <c r="B57" s="18" t="str">
        <f>VLOOKUP($A57,Questions!$A$2:$X$333,2,0)</f>
        <v>Is authority for firewall change approval documented? Please list approver names or titles in Additional Info.</v>
      </c>
      <c r="C57" s="21" t="s">
        <v>40</v>
      </c>
      <c r="D57" s="317" t="s">
        <v>2060</v>
      </c>
      <c r="E57" s="167" t="str">
        <f>IF($C$18='Auto Responses'!$J$4,'Auto Responses'!$A$3,IF($C57='Auto Responses'!$J$3,VLOOKUP($A57,Questions!$A$2:$X$333,17,0)&amp;"",IF($C57='Auto Responses'!$J$4,VLOOKUP($A57,Questions!$A$2:$X$333,16,0)&amp;"",VLOOKUP($A57,Questions!$A$2:$X$333,15,0)&amp;"")))</f>
        <v>List approver names or titles.</v>
      </c>
      <c r="F57" s="201" t="str">
        <f>VLOOKUP($A57,'Institution Evaluation'!$A$56:$F$345,6,0)&amp;""</f>
        <v/>
      </c>
      <c r="I57" s="35"/>
      <c r="J57" s="35"/>
    </row>
    <row r="58" spans="1:10" s="1" customFormat="1" ht="110.4" x14ac:dyDescent="0.25">
      <c r="A58" s="19" t="s">
        <v>482</v>
      </c>
      <c r="B58" s="18" t="str">
        <f>VLOOKUP($A58,Questions!$A$2:$X$333,2,0)</f>
        <v>Have you implemented an intrusion prevention system (network-based)?</v>
      </c>
      <c r="C58" s="21" t="s">
        <v>148</v>
      </c>
      <c r="D58" s="317" t="s">
        <v>2061</v>
      </c>
      <c r="E58" s="167" t="str">
        <f>IF($C$18='Auto Responses'!$J$4,'Auto Responses'!$A$3,IF($C58='Auto Responses'!$J$3,VLOOKUP($A58,Questions!$A$2:$X$333,17,0)&amp;"",IF($C58='Auto Responses'!$J$4,VLOOKUP($A58,Questions!$A$2:$X$333,16,0)&amp;"",VLOOKUP($A58,Questions!$A$2:$X$333,15,0)&amp;"")))</f>
        <v>Describe your plan to implement an intrusion prevention system in your environment.</v>
      </c>
      <c r="F58" s="201" t="str">
        <f>VLOOKUP($A58,'Institution Evaluation'!$A$56:$F$345,6,0)&amp;""</f>
        <v/>
      </c>
      <c r="I58" s="35"/>
      <c r="J58" s="35"/>
    </row>
    <row r="59" spans="1:10" s="1" customFormat="1" ht="110.4" x14ac:dyDescent="0.25">
      <c r="A59" s="19" t="s">
        <v>485</v>
      </c>
      <c r="B59" s="18" t="str">
        <f>VLOOKUP($A59,Questions!$A$2:$X$333,2,0)</f>
        <v>Do you employ host-based intrusion prevention?</v>
      </c>
      <c r="C59" s="21" t="s">
        <v>148</v>
      </c>
      <c r="D59" s="317" t="s">
        <v>2062</v>
      </c>
      <c r="E59" s="167" t="str">
        <f>IF($C$18='Auto Responses'!$J$4,'Auto Responses'!$A$3,IF($C59='Auto Responses'!$J$3,VLOOKUP($A59,Questions!$A$2:$X$333,17,0)&amp;"",IF($C59='Auto Responses'!$J$4,VLOOKUP($A59,Questions!$A$2:$X$333,16,0)&amp;"",IF($C59='Auto Responses'!$J$5,VLOOKUP($A59,Questions!$A$2:$X$333,18,0)&amp;"",VLOOKUP($A59,Questions!$A$2:$X$333,15,0)&amp;""))))</f>
        <v>Describe your plan to implement host-based intrusion prevention system capabilities in your environment.</v>
      </c>
      <c r="F59" s="201" t="str">
        <f>VLOOKUP($A59,'Institution Evaluation'!$A$56:$F$345,6,0)&amp;""</f>
        <v/>
      </c>
      <c r="I59" s="35"/>
      <c r="J59" s="35"/>
    </row>
    <row r="60" spans="1:10" s="1" customFormat="1" ht="96.6" x14ac:dyDescent="0.25">
      <c r="A60" s="19" t="s">
        <v>490</v>
      </c>
      <c r="B60" s="18" t="str">
        <f>VLOOKUP($A60,Questions!$A$2:$X$333,2,0)</f>
        <v>Are you employing any next-generation persistent threat (NGPT) monitoring?</v>
      </c>
      <c r="C60" s="21" t="s">
        <v>148</v>
      </c>
      <c r="D60" s="317" t="s">
        <v>2063</v>
      </c>
      <c r="E60" s="167" t="str">
        <f>IF($C$18='Auto Responses'!$J$4,'Auto Responses'!$A$3,IF($C60='Auto Responses'!$J$3,VLOOKUP($A60,Questions!$A$2:$X$333,17,0)&amp;"",IF($C60='Auto Responses'!$J$4,VLOOKUP($A60,Questions!$A$2:$X$333,16,0)&amp;"",VLOOKUP($A60,Questions!$A$2:$X$333,15,0)&amp;"")))</f>
        <v>Describe your intent to implement NGPT monitoring.</v>
      </c>
      <c r="F60" s="201" t="str">
        <f>VLOOKUP($A60,'Institution Evaluation'!$A$56:$F$345,6,0)&amp;""</f>
        <v/>
      </c>
      <c r="I60" s="35"/>
      <c r="J60" s="35"/>
    </row>
    <row r="61" spans="1:10" s="1" customFormat="1" ht="372.6" x14ac:dyDescent="0.25">
      <c r="A61" s="19" t="s">
        <v>495</v>
      </c>
      <c r="B61" s="18" t="str">
        <f>VLOOKUP($A61,Questions!$A$2:$X$333,2,0)</f>
        <v>Is intrusion monitoring performed internally or by a third-party service?</v>
      </c>
      <c r="C61" s="365" t="s">
        <v>2064</v>
      </c>
      <c r="D61" s="313"/>
      <c r="E61" s="167" t="str">
        <f>IF($C$18='Auto Responses'!$J$4,'Auto Responses'!$A$3,IF($C61='Auto Responses'!$J$3,VLOOKUP($A61,Questions!$A$2:$X$333,17,0)&amp;"",IF($C61='Auto Responses'!$J$4,VLOOKUP($A61,Questions!$A$2:$X$333,16,0)&amp;"",VLOOKUP($A61,Questions!$A$2:$X$333,15,0)&amp;"")))</f>
        <v>In addition to stating your intrusion monitoring strategy, provide a brief summary of its implementation.</v>
      </c>
      <c r="F61" s="201" t="str">
        <f>VLOOKUP($A61,'Institution Evaluation'!$A$56:$F$345,6,0)&amp;""</f>
        <v/>
      </c>
      <c r="I61" s="35"/>
      <c r="J61" s="35"/>
    </row>
    <row r="62" spans="1:10" s="1" customFormat="1" ht="151.19999999999999" customHeight="1" thickBot="1" x14ac:dyDescent="0.3">
      <c r="A62" s="19" t="s">
        <v>499</v>
      </c>
      <c r="B62" s="18" t="str">
        <f>VLOOKUP($A62,Questions!$A$2:$X$333,2,0)</f>
        <v>Do you monitor for intrusions on a 24 x 7 x 365 basis?</v>
      </c>
      <c r="C62" s="21" t="s">
        <v>148</v>
      </c>
      <c r="D62" s="317" t="s">
        <v>2065</v>
      </c>
      <c r="E62" s="167" t="str">
        <f>IF($C$18='Auto Responses'!$J$4,'Auto Responses'!$A$3,IF($C62='Auto Responses'!$J$3,VLOOKUP($A62,Questions!$A$2:$X$333,17,0)&amp;"",IF($C62='Auto Responses'!$J$4,VLOOKUP($A62,Questions!$A$2:$X$333,16,0)&amp;"",VLOOKUP($A62,Questions!$A$2:$X$333,15,0)&amp;"")))</f>
        <v>State plans to implement 24 x 7 x 365 intrusion monitoring in your environment(s).</v>
      </c>
      <c r="F62" s="201" t="str">
        <f>VLOOKUP($A62,'Institution Evaluation'!$A$56:$F$345,6,0)&amp;""</f>
        <v/>
      </c>
      <c r="G62" s="238" t="s">
        <v>1449</v>
      </c>
      <c r="I62" s="35"/>
      <c r="J62" s="35"/>
    </row>
    <row r="63" spans="1:10" s="1" customFormat="1" ht="37.35" customHeight="1" thickBot="1" x14ac:dyDescent="0.3">
      <c r="A63" s="63" t="str">
        <f>VLOOKUP(LEFT($A64,4),'Auto Responses'!$N$4:$O$38,2,0)&amp;""</f>
        <v xml:space="preserve"> Incident Handling</v>
      </c>
      <c r="B63" s="22"/>
      <c r="C63" s="13" t="s">
        <v>1497</v>
      </c>
      <c r="D63" s="13" t="s">
        <v>72</v>
      </c>
      <c r="E63" s="31" t="s">
        <v>848</v>
      </c>
      <c r="F63" s="187" t="s">
        <v>849</v>
      </c>
      <c r="I63" s="35"/>
      <c r="J63" s="35"/>
    </row>
    <row r="64" spans="1:10" s="1" customFormat="1" ht="165.6" x14ac:dyDescent="0.25">
      <c r="A64" s="19" t="s">
        <v>558</v>
      </c>
      <c r="B64" s="18" t="str">
        <f>VLOOKUP($A64,Questions!$A$2:$X$333,2,0)</f>
        <v>Do you have a formal incident response plan?</v>
      </c>
      <c r="C64" s="21" t="s">
        <v>40</v>
      </c>
      <c r="D64" s="317" t="s">
        <v>2066</v>
      </c>
      <c r="E64" s="167" t="str">
        <f>IF($C$18='Auto Responses'!$J$4,'Auto Responses'!$A$3,IF($C64='Auto Responses'!$J$3,VLOOKUP($A64,Questions!$A$2:$X$333,17,0)&amp;"",IF($C64='Auto Responses'!$J$4,VLOOKUP($A64,Questions!$A$2:$X$333,16,0)&amp;"",VLOOKUP($A64,Questions!$A$2:$X$333,15,0)&amp;"")))</f>
        <v>Summarize or provide a link to your formal incident response plan.</v>
      </c>
      <c r="F64" s="201" t="str">
        <f>VLOOKUP($A64,'Institution Evaluation'!$A$56:$F$345,6,0)&amp;""</f>
        <v/>
      </c>
      <c r="I64" s="35"/>
      <c r="J64" s="35"/>
    </row>
    <row r="65" spans="1:12" s="1" customFormat="1" ht="96.6" x14ac:dyDescent="0.25">
      <c r="A65" s="19" t="s">
        <v>562</v>
      </c>
      <c r="B65" s="18" t="str">
        <f>VLOOKUP($A65,Questions!$A$2:$X$333,2,0)</f>
        <v>Do you either have an internal incident response team or retain an external team?</v>
      </c>
      <c r="C65" s="21" t="s">
        <v>40</v>
      </c>
      <c r="D65" s="317" t="s">
        <v>2067</v>
      </c>
      <c r="E65" s="167" t="str">
        <f>IF($C$18='Auto Responses'!$J$4,'Auto Responses'!$A$3,IF($C65='Auto Responses'!$J$3,VLOOKUP($A65,Questions!$A$2:$X$333,17,0)&amp;"",IF($C65='Auto Responses'!$J$4,VLOOKUP($A65,Questions!$A$2:$X$333,16,0)&amp;"",VLOOKUP($A65,Questions!$A$2:$X$333,15,0)&amp;"")))</f>
        <v>Summarize your incident response and reporting processes.</v>
      </c>
      <c r="F65" s="201" t="str">
        <f>VLOOKUP($A65,'Institution Evaluation'!$A$56:$F$345,6,0)&amp;""</f>
        <v/>
      </c>
      <c r="I65" s="35"/>
      <c r="J65" s="35"/>
    </row>
    <row r="66" spans="1:12" s="1" customFormat="1" ht="138" x14ac:dyDescent="0.25">
      <c r="A66" s="19" t="s">
        <v>566</v>
      </c>
      <c r="B66" s="18" t="str">
        <f>VLOOKUP($A66,Questions!$A$2:$X$333,2,0)</f>
        <v>Do you have the capability to respond to incidents on a 24 x 7 x 365 basis?</v>
      </c>
      <c r="C66" s="21" t="s">
        <v>40</v>
      </c>
      <c r="D66" s="317" t="s">
        <v>2068</v>
      </c>
      <c r="E66" s="167" t="str">
        <f>IF($C$18='Auto Responses'!$J$4,'Auto Responses'!$A$3,IF($C66='Auto Responses'!$J$3,VLOOKUP($A66,Questions!$A$2:$X$333,17,0)&amp;"",IF($C66='Auto Responses'!$J$4,VLOOKUP($A66,Questions!$A$2:$X$333,16,0)&amp;"",VLOOKUP($A66,Questions!$A$2:$X$333,15,0)&amp;"")))</f>
        <v>Summarize your internal approach or reference your third-party contractor.</v>
      </c>
      <c r="F66" s="201" t="str">
        <f>VLOOKUP($A66,'Institution Evaluation'!$A$56:$F$345,6,0)&amp;""</f>
        <v/>
      </c>
      <c r="I66" s="35"/>
      <c r="J66" s="35"/>
    </row>
    <row r="67" spans="1:12" s="1" customFormat="1" ht="48" customHeight="1" thickBot="1" x14ac:dyDescent="0.3">
      <c r="A67" s="19" t="s">
        <v>570</v>
      </c>
      <c r="B67" s="18" t="str">
        <f>VLOOKUP($A67,Questions!$A$2:$X$333,2,0)</f>
        <v>Do you carry cyber-risk insurance to protect against unforeseen service outages, data that is lost or stolen, and security incidents?</v>
      </c>
      <c r="C67" s="21" t="s">
        <v>40</v>
      </c>
      <c r="D67" s="317" t="s">
        <v>2069</v>
      </c>
      <c r="E67" s="167" t="str">
        <f>IF($C$18='Auto Responses'!$J$4,'Auto Responses'!$A$3,IF($C67='Auto Responses'!$J$3,VLOOKUP($A67,Questions!$A$2:$X$333,17,0)&amp;"",IF($C67='Auto Responses'!$J$4,VLOOKUP($A67,Questions!$A$2:$X$333,16,0)&amp;"",VLOOKUP($A67,Questions!$A$2:$X$333,15,0)&amp;"")))</f>
        <v>Describe the coverage in place for this solution.</v>
      </c>
      <c r="F67" s="201" t="str">
        <f>VLOOKUP($A67,'Institution Evaluation'!$A$56:$F$345,6,0)&amp;""</f>
        <v/>
      </c>
      <c r="G67" s="238" t="s">
        <v>1449</v>
      </c>
      <c r="I67" s="35"/>
      <c r="J67" s="35"/>
    </row>
    <row r="68" spans="1:12" s="1" customFormat="1" ht="37.35" customHeight="1" thickBot="1" x14ac:dyDescent="0.3">
      <c r="A68" s="63" t="str">
        <f>VLOOKUP(LEFT($A69,4),'Auto Responses'!$N$4:$O$38,2,0)&amp;""</f>
        <v xml:space="preserve"> Vulnerability Management</v>
      </c>
      <c r="B68" s="22"/>
      <c r="C68" s="13" t="s">
        <v>1497</v>
      </c>
      <c r="D68" s="13" t="s">
        <v>72</v>
      </c>
      <c r="E68" s="31" t="s">
        <v>848</v>
      </c>
      <c r="F68" s="187" t="s">
        <v>849</v>
      </c>
      <c r="I68" s="35"/>
      <c r="J68" s="35"/>
    </row>
    <row r="69" spans="1:12" s="1" customFormat="1" ht="193.2" x14ac:dyDescent="0.25">
      <c r="A69" s="19" t="s">
        <v>572</v>
      </c>
      <c r="B69" s="18" t="str">
        <f>VLOOKUP($A69,Questions!$A$2:$X$333,2,0)</f>
        <v>Are your systems and applications scanned with an authenticated user account for vulnerabilities (that are remediated) prior to new releases?*</v>
      </c>
      <c r="C69" s="21" t="s">
        <v>148</v>
      </c>
      <c r="D69" s="317" t="s">
        <v>2070</v>
      </c>
      <c r="E69" s="167" t="str">
        <f>IF($C$18='Auto Responses'!$J$4,'Auto Responses'!$A$3,IF($C69='Auto Responses'!$J$3,VLOOKUP($A69,Questions!$A$2:$X$333,17,0)&amp;"",IF($C69='Auto Responses'!$J$4,VLOOKUP($A69,Questions!$A$2:$X$333,16,0)&amp;"",VLOOKUP($A69,Questions!$A$2:$X$333,15,0)&amp;"")))</f>
        <v>Describe plans to implement application vulnerability scanning (and remediation) prior to release.</v>
      </c>
      <c r="F69" s="201" t="str">
        <f>VLOOKUP($A69,'Institution Evaluation'!$A$56:$F$345,6,0)&amp;""</f>
        <v/>
      </c>
      <c r="I69" s="35"/>
      <c r="J69" s="35"/>
    </row>
    <row r="70" spans="1:12" s="1" customFormat="1" ht="110.4" x14ac:dyDescent="0.25">
      <c r="A70" s="19" t="s">
        <v>575</v>
      </c>
      <c r="B70" s="18" t="str">
        <f>VLOOKUP($A70,Questions!$A$2:$X$333,2,0)</f>
        <v>Will you provide results of application and system vulnerability scans to the institution?*</v>
      </c>
      <c r="C70" s="21" t="s">
        <v>40</v>
      </c>
      <c r="D70" s="317" t="s">
        <v>2071</v>
      </c>
      <c r="E70" s="167" t="str">
        <f>IF($C$18='Auto Responses'!$J$4,'Auto Responses'!$A$3,IF($C70='Auto Responses'!$J$3,VLOOKUP($A70,Questions!$A$2:$X$333,17,0)&amp;"",IF($C70='Auto Responses'!$J$4,VLOOKUP($A70,Questions!$A$2:$X$333,16,0)&amp;"",VLOOKUP($A70,Questions!$A$2:$X$333,15,0)&amp;"")))</f>
        <v>Provide a reference to security scan documentation.</v>
      </c>
      <c r="F70" s="201" t="str">
        <f>VLOOKUP($A70,'Institution Evaluation'!$A$56:$F$345,6,0)&amp;""</f>
        <v/>
      </c>
      <c r="I70" s="35"/>
      <c r="J70" s="35"/>
    </row>
    <row r="71" spans="1:12" s="1" customFormat="1" ht="124.2" x14ac:dyDescent="0.25">
      <c r="A71" s="19" t="s">
        <v>579</v>
      </c>
      <c r="B71" s="18" t="str">
        <f>VLOOKUP($A71,Questions!$A$2:$X$333,2,0)</f>
        <v>Will you allow the institution to perform its own vulnerability testing and/or scanning of your systems and/or application, provided that testing is performed at a mutually agreed upon time and date?*</v>
      </c>
      <c r="C71" s="21" t="s">
        <v>40</v>
      </c>
      <c r="D71" s="317" t="s">
        <v>2075</v>
      </c>
      <c r="E71" s="167" t="str">
        <f>IF($C$18='Auto Responses'!$J$4,'Auto Responses'!$A$3,IF($C71='Auto Responses'!$J$3,VLOOKUP($A71,Questions!$A$2:$X$333,17,0)&amp;"",IF($C71='Auto Responses'!$J$4,VLOOKUP($A71,Questions!$A$2:$X$333,16,0)&amp;"",VLOOKUP($A71,Questions!$A$2:$X$333,15,0)&amp;"")))</f>
        <v>Provide reference to the process or procedure to set up security testing times and scopes.</v>
      </c>
      <c r="F71" s="201" t="str">
        <f>VLOOKUP($A71,'Institution Evaluation'!$A$56:$F$345,6,0)&amp;""</f>
        <v/>
      </c>
      <c r="I71" s="35"/>
      <c r="J71" s="35"/>
    </row>
    <row r="72" spans="1:12" s="1" customFormat="1" ht="138" x14ac:dyDescent="0.25">
      <c r="A72" s="19" t="s">
        <v>582</v>
      </c>
      <c r="B72" s="18" t="str">
        <f>VLOOKUP($A72,Questions!$A$2:$X$333,2,0)</f>
        <v>Have your systems and applications had a third-party security assessment completed in the last year?</v>
      </c>
      <c r="C72" s="21" t="s">
        <v>40</v>
      </c>
      <c r="D72" s="317" t="s">
        <v>2074</v>
      </c>
      <c r="E72" s="167" t="str">
        <f>IF($C$18='Auto Responses'!$J$4,'Auto Responses'!$A$3,IF($C72='Auto Responses'!$J$3,VLOOKUP($A72,Questions!$A$2:$X$333,17,0)&amp;"",IF($C72='Auto Responses'!$J$4,VLOOKUP($A72,Questions!$A$2:$X$333,16,0)&amp;"",VLOOKUP($A72,Questions!$A$2:$X$333,15,0)&amp;"")))</f>
        <v>Provide the results with this document (link or attached), if possible. State the date of the last completed third-party security assessment.</v>
      </c>
      <c r="F72" s="201" t="str">
        <f>VLOOKUP($A72,'Institution Evaluation'!$A$56:$F$345,6,0)&amp;""</f>
        <v/>
      </c>
      <c r="I72" s="35"/>
      <c r="J72" s="35"/>
    </row>
    <row r="73" spans="1:12" s="1" customFormat="1" ht="193.2" x14ac:dyDescent="0.25">
      <c r="A73" s="19" t="s">
        <v>585</v>
      </c>
      <c r="B73" s="18" t="str">
        <f>VLOOKUP($A73,Questions!$A$2:$X$333,2,0)</f>
        <v>Do you regularly scan for common web application security vulnerabilities (e.g., SQL injection, XSS, XSRF, etc.)?</v>
      </c>
      <c r="C73" s="21" t="s">
        <v>40</v>
      </c>
      <c r="D73" s="317" t="s">
        <v>2072</v>
      </c>
      <c r="E73" s="167" t="str">
        <f>IF($C$18='Auto Responses'!$J$4,'Auto Responses'!$A$3,IF($C73='Auto Responses'!$J$3,VLOOKUP($A73,Questions!$A$2:$X$333,17,0)&amp;"",IF($C73='Auto Responses'!$J$4,VLOOKUP($A73,Questions!$A$2:$X$333,16,0)&amp;"",VLOOKUP($A73,Questions!$A$2:$X$333,15,0)&amp;"")))</f>
        <v>Ensure that all elements of VULN-05 are clearly stated in your response.</v>
      </c>
      <c r="F73" s="201" t="str">
        <f>VLOOKUP($A73,'Institution Evaluation'!$A$56:$F$345,6,0)&amp;""</f>
        <v/>
      </c>
      <c r="I73" s="35"/>
      <c r="J73" s="35"/>
    </row>
    <row r="74" spans="1:12" s="1" customFormat="1" ht="151.80000000000001" x14ac:dyDescent="0.25">
      <c r="A74" s="19" t="s">
        <v>587</v>
      </c>
      <c r="B74" s="18" t="str">
        <f>VLOOKUP($A74,Questions!$A$2:$X$333,2,0)</f>
        <v>Are your systems and applications regularly scanned externally for vulnerabilities?</v>
      </c>
      <c r="C74" s="21" t="s">
        <v>148</v>
      </c>
      <c r="D74" s="317" t="s">
        <v>2073</v>
      </c>
      <c r="E74" s="167" t="str">
        <f>IF($C$18='Auto Responses'!$J$4,'Auto Responses'!$A$3,IF($C74='Auto Responses'!$J$3,VLOOKUP($A74,Questions!$A$2:$X$333,17,0)&amp;"",IF($C74='Auto Responses'!$J$4,VLOOKUP($A74,Questions!$A$2:$X$333,16,0)&amp;"",VLOOKUP($A74,Questions!$A$2:$X$333,15,0)&amp;"")))</f>
        <v>Describe any plans to implement external vulnerability scanning for your applications.</v>
      </c>
      <c r="F74" s="201" t="str">
        <f>VLOOKUP($A74,'Institution Evaluation'!$A$56:$F$345,6,0)&amp;""</f>
        <v/>
      </c>
      <c r="G74" s="238" t="s">
        <v>1449</v>
      </c>
      <c r="H74" s="35"/>
    </row>
    <row r="75" spans="1:12" s="171" customFormat="1" ht="36.75" customHeight="1" x14ac:dyDescent="0.25">
      <c r="A75" s="267" t="s">
        <v>1507</v>
      </c>
      <c r="B75" s="253"/>
      <c r="C75" s="254"/>
      <c r="D75" s="318"/>
      <c r="E75" s="256"/>
      <c r="F75" s="257"/>
      <c r="G75" s="258"/>
      <c r="H75" s="172"/>
    </row>
    <row r="76" spans="1:12" s="1" customFormat="1" ht="15" hidden="1" customHeight="1" x14ac:dyDescent="0.25">
      <c r="A76" s="23"/>
      <c r="C76" s="8"/>
      <c r="D76" s="9"/>
      <c r="E76" s="10"/>
      <c r="I76" s="35"/>
      <c r="J76" s="35"/>
    </row>
    <row r="77" spans="1:12" ht="15" hidden="1" customHeight="1" x14ac:dyDescent="0.25">
      <c r="A77" s="1"/>
      <c r="B77" s="8"/>
      <c r="C77" s="71"/>
      <c r="D77" s="10"/>
      <c r="E77" s="1"/>
      <c r="H77" s="35"/>
      <c r="I77" s="1"/>
      <c r="J77" s="1"/>
      <c r="L77" s="23"/>
    </row>
    <row r="78" spans="1:12" ht="0" hidden="1" customHeight="1" x14ac:dyDescent="0.25">
      <c r="A78" s="19" t="e">
        <f>#REF!</f>
        <v>#REF!</v>
      </c>
    </row>
    <row r="79" spans="1:12" ht="0" hidden="1" customHeight="1" x14ac:dyDescent="0.25">
      <c r="A79" s="19" t="e">
        <f>#REF!</f>
        <v>#REF!</v>
      </c>
    </row>
    <row r="80" spans="1:12" ht="0" hidden="1" customHeight="1" x14ac:dyDescent="0.25">
      <c r="A80" s="19" t="e">
        <f>#REF!</f>
        <v>#REF!</v>
      </c>
    </row>
    <row r="81" spans="1:1" ht="0" hidden="1" customHeight="1" x14ac:dyDescent="0.25">
      <c r="A81" s="19" t="e">
        <f>#REF!</f>
        <v>#REF!</v>
      </c>
    </row>
    <row r="82" spans="1:1" ht="0" hidden="1" customHeight="1" x14ac:dyDescent="0.25">
      <c r="A82" s="19" t="e">
        <f>#REF!</f>
        <v>#REF!</v>
      </c>
    </row>
    <row r="83" spans="1:1" ht="0" hidden="1" customHeight="1" x14ac:dyDescent="0.25">
      <c r="A83" s="19" t="e">
        <f>#REF!</f>
        <v>#REF!</v>
      </c>
    </row>
    <row r="84" spans="1:1" ht="0" hidden="1" customHeight="1" x14ac:dyDescent="0.25">
      <c r="A84" s="19" t="e">
        <f>#REF!</f>
        <v>#REF!</v>
      </c>
    </row>
  </sheetData>
  <dataValidations count="3">
    <dataValidation allowBlank="1" showInputMessage="1" showErrorMessage="1" promptTitle="Warning!" prompt="The HECVAT is built using a number of complex formulas. Editing this cell can break the functionality of the tool. " sqref="C4:C12 A3:A75 C19:D19 C17:D17 C51:D51 C63:D63 C68:D68 C34:D34 D2:F12 C2 B2:B75 E17:F74" xr:uid="{871E98A8-35DA-4B00-A5D2-935B75619CA9}"/>
    <dataValidation allowBlank="1" showInputMessage="1" showErrorMessage="1" prompt="This answer has been populated from the &quot;START HERE&quot; tab and does not need to be re-entered." sqref="C18 C13:C16 C3" xr:uid="{A359637D-68E0-4379-B6B4-68D633131ED0}"/>
    <dataValidation allowBlank="1" showInputMessage="1" showErrorMessage="1" prompt="This cell should be left blank. Input your answer in column C." sqref="D61" xr:uid="{0DA1E363-2115-438E-8E6F-B1F840843C16}"/>
  </dataValidations>
  <hyperlinks>
    <hyperlink ref="A11" r:id="rId1" display="http://www.educause.edu/HECVAT" xr:uid="{BFD1FA5C-33B4-453F-A047-4C5E73726C2C}"/>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17EB304F-CC8A-406D-BCB4-3E87BF27F5AB}">
          <x14:formula1>
            <xm:f>'Auto Responses'!$J$17:$J$23</xm:f>
          </x14:formula1>
          <xm:sqref>C35</xm:sqref>
        </x14:dataValidation>
        <x14:dataValidation type="list" allowBlank="1" showInputMessage="1" showErrorMessage="1" xr:uid="{D592F1D7-1304-4313-8BF2-D63F23C31390}">
          <x14:formula1>
            <xm:f>'Auto Responses'!$J$3:$J$4</xm:f>
          </x14:formula1>
          <xm:sqref>C69:C75 C64:C67 C36:C50 C62 C33 C20:C31 C52:C54 C56:C58 C60</xm:sqref>
        </x14:dataValidation>
        <x14:dataValidation type="list" allowBlank="1" showInputMessage="1" showErrorMessage="1" xr:uid="{93657D99-E1FD-4BD9-A144-57795F7D382E}">
          <x14:formula1>
            <xm:f>'Auto Responses'!$J$3:$J$5</xm:f>
          </x14:formula1>
          <xm:sqref>C32 C55 C59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191D-6382-4321-8C35-861D8988BD45}">
  <sheetPr>
    <tabColor rgb="FF00636C"/>
  </sheetPr>
  <dimension ref="A1:L47"/>
  <sheetViews>
    <sheetView showGridLines="0" showZeros="0" topLeftCell="A30" zoomScale="80" zoomScaleNormal="80" workbookViewId="0">
      <selection activeCell="D26" sqref="D26:D37"/>
    </sheetView>
  </sheetViews>
  <sheetFormatPr defaultColWidth="0" defaultRowHeight="0" customHeight="1" zeroHeight="1" x14ac:dyDescent="0.25"/>
  <cols>
    <col min="1" max="1" width="8.3046875" customWidth="1"/>
    <col min="2" max="2" width="55.07421875" style="1" customWidth="1"/>
    <col min="3" max="3" width="18.921875" style="8" customWidth="1"/>
    <col min="4" max="4" width="55.69140625" style="9" customWidth="1"/>
    <col min="5" max="5" width="32" style="10" customWidth="1"/>
    <col min="6" max="6" width="30.69140625" style="1" customWidth="1"/>
    <col min="7" max="7" width="18.07421875" style="1" customWidth="1"/>
    <col min="8" max="8" width="18.07421875" style="1" hidden="1" customWidth="1"/>
    <col min="9" max="10" width="18.07421875" style="35" hidden="1" customWidth="1"/>
    <col min="11" max="11" width="4.4609375" style="1" hidden="1" customWidth="1"/>
    <col min="12" max="12" width="6.61328125" style="1" hidden="1" customWidth="1"/>
    <col min="13" max="16384" width="6.61328125" hidden="1"/>
  </cols>
  <sheetData>
    <row r="1" spans="1:10" ht="0" hidden="1" customHeight="1" x14ac:dyDescent="0.25">
      <c r="A1" t="s">
        <v>1448</v>
      </c>
    </row>
    <row r="2" spans="1:10" ht="36" customHeight="1" x14ac:dyDescent="0.25">
      <c r="A2" s="168" t="s">
        <v>1378</v>
      </c>
      <c r="B2" s="168"/>
      <c r="C2" s="169"/>
      <c r="D2" s="308"/>
      <c r="E2" s="170"/>
      <c r="F2" s="170" t="str">
        <f>'Auto Responses'!$A$36</f>
        <v>Version 4.1.5</v>
      </c>
      <c r="J2" s="1"/>
    </row>
    <row r="3" spans="1:10" s="1" customFormat="1" ht="29.1" customHeight="1" x14ac:dyDescent="0.25">
      <c r="A3" s="37" t="s">
        <v>940</v>
      </c>
      <c r="B3" s="38"/>
      <c r="C3" s="66">
        <f>'START HERE'!$C$3</f>
        <v>0</v>
      </c>
      <c r="D3" s="309"/>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10"/>
      <c r="E5" s="16"/>
      <c r="F5" s="261"/>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10"/>
      <c r="E6" s="16"/>
      <c r="F6" s="262"/>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10"/>
      <c r="E7" s="16"/>
      <c r="F7" s="262"/>
      <c r="I7" s="35"/>
    </row>
    <row r="8" spans="1:10" s="1" customFormat="1" ht="19.5" customHeight="1" x14ac:dyDescent="0.25">
      <c r="A8" s="42" t="str">
        <f>HLOOKUP($A$4,'Auto Responses'!$D$2:$D$8,5,0)&amp;""</f>
        <v>4. DO NOT complete any fields in the "Evaluation" sheets or the "Analyst Notes" column.</v>
      </c>
      <c r="B8" s="16"/>
      <c r="C8" s="67"/>
      <c r="D8" s="310"/>
      <c r="E8" s="16"/>
      <c r="F8" s="262"/>
      <c r="I8" s="35"/>
    </row>
    <row r="9" spans="1:10" s="1" customFormat="1" ht="19.5" customHeight="1" x14ac:dyDescent="0.25">
      <c r="A9" s="42" t="str">
        <f>HLOOKUP($A$4,'Auto Responses'!$D$2:$D$8,6,0)&amp;""</f>
        <v>5. Return the completed file to institutions.</v>
      </c>
      <c r="B9" s="16"/>
      <c r="C9" s="67"/>
      <c r="D9" s="310"/>
      <c r="E9" s="16"/>
      <c r="F9" s="262"/>
      <c r="I9" s="35"/>
    </row>
    <row r="10" spans="1:10" s="1" customFormat="1" ht="19.5" customHeight="1" x14ac:dyDescent="0.25">
      <c r="A10" s="247" t="str">
        <f>HLOOKUP($A$4,'Auto Responses'!$D$2:$D$8,7,0)&amp;""</f>
        <v>* Denotes critical questions. Critical questions are those deemed most important to institutions by higher education volunteers.</v>
      </c>
      <c r="B10" s="16"/>
      <c r="C10" s="67"/>
      <c r="D10" s="310"/>
      <c r="E10" s="16"/>
      <c r="F10" s="262"/>
      <c r="I10" s="35"/>
    </row>
    <row r="11" spans="1:10" s="1" customFormat="1" ht="19.5" customHeight="1" x14ac:dyDescent="0.25">
      <c r="A11" s="246" t="str">
        <f>HLOOKUP($A$4,'Auto Responses'!$D$2:$D$9,8,0)&amp;""</f>
        <v>For full instructions, please visit educause.edu/HECVAT</v>
      </c>
      <c r="B11" s="16"/>
      <c r="C11" s="67"/>
      <c r="D11" s="310"/>
      <c r="E11" s="16"/>
      <c r="F11" s="263"/>
      <c r="I11" s="35"/>
    </row>
    <row r="12" spans="1:10" s="1" customFormat="1" ht="36" customHeight="1" x14ac:dyDescent="0.25">
      <c r="A12" s="63" t="str">
        <f>VLOOKUP(LEFT($A13,4),'Auto Responses'!$N$4:$O$38,2,0)&amp;""</f>
        <v xml:space="preserve"> General Information</v>
      </c>
      <c r="B12" s="12"/>
      <c r="C12" s="13" t="s">
        <v>1497</v>
      </c>
      <c r="D12" s="311"/>
      <c r="E12" s="17"/>
      <c r="F12" s="17"/>
      <c r="I12" s="35"/>
      <c r="J12" s="35"/>
    </row>
    <row r="13" spans="1:10" s="1" customFormat="1" ht="22.35" customHeight="1" x14ac:dyDescent="0.25">
      <c r="A13" s="19" t="s">
        <v>21</v>
      </c>
      <c r="B13" s="20" t="str">
        <f>VLOOKUP($A13,Questions!$A$2:$X$333,2,0)&amp;""</f>
        <v>Solution Provider Name</v>
      </c>
      <c r="C13" s="76" t="str">
        <f>VLOOKUP($A13,'START HERE'!$A$13:$C$21,3,0)&amp;""</f>
        <v>Cursive Technology Inc</v>
      </c>
      <c r="D13" s="32"/>
      <c r="E13" s="32"/>
      <c r="F13" s="50"/>
      <c r="I13" s="35"/>
      <c r="J13" s="35"/>
    </row>
    <row r="14" spans="1:10" s="1" customFormat="1" ht="22.35" customHeight="1" x14ac:dyDescent="0.25">
      <c r="A14" s="19" t="s">
        <v>24</v>
      </c>
      <c r="B14" s="20" t="str">
        <f>VLOOKUP($A14,Questions!$A$2:$X$333,2,0)&amp;""</f>
        <v>Solution Name</v>
      </c>
      <c r="C14" s="76" t="str">
        <f>VLOOKUP($A14,'START HERE'!$A$13:$C$21,3,0)&amp;""</f>
        <v>TypeID</v>
      </c>
      <c r="D14" s="32"/>
      <c r="E14" s="32"/>
      <c r="F14" s="50"/>
      <c r="I14" s="35"/>
      <c r="J14" s="35"/>
    </row>
    <row r="15" spans="1:10" s="1" customFormat="1" ht="22.35" customHeight="1" x14ac:dyDescent="0.25">
      <c r="A15" s="19" t="s">
        <v>25</v>
      </c>
      <c r="B15" s="20" t="str">
        <f>VLOOKUP($A15,Questions!$A$2:$X$333,2,0)&amp;""</f>
        <v>Solution Description</v>
      </c>
      <c r="C15" s="76" t="str">
        <f>VLOOKUP($A15,'START HERE'!$A$13:$C$21,3,0)&amp;""</f>
        <v>Continuous authorship verification and writing analytics using typing biometrics. Native Moodle plugin, browser extension for any LMS, WordPress-based authorship report and verification system.</v>
      </c>
      <c r="D15" s="32"/>
      <c r="E15" s="32"/>
      <c r="F15" s="50"/>
      <c r="I15" s="35"/>
      <c r="J15" s="35"/>
    </row>
    <row r="16" spans="1:10" s="1" customFormat="1" ht="22.35" customHeight="1" thickBot="1" x14ac:dyDescent="0.3">
      <c r="A16" s="19" t="s">
        <v>30</v>
      </c>
      <c r="B16" s="20" t="str">
        <f>VLOOKUP($A16,Questions!$A$2:$X$333,2,0)&amp;""</f>
        <v>Country of Company Headquarters</v>
      </c>
      <c r="C16" s="76" t="str">
        <f>VLOOKUP($A16,'START HERE'!$A$13:$C$21,3,0)&amp;""</f>
        <v>USA</v>
      </c>
      <c r="D16" s="32"/>
      <c r="E16" s="32"/>
      <c r="F16" s="50"/>
      <c r="I16" s="35"/>
      <c r="J16" s="35"/>
    </row>
    <row r="17" spans="1:10" s="1" customFormat="1" ht="37.35" customHeight="1" thickBot="1" x14ac:dyDescent="0.3">
      <c r="A17" s="63" t="str">
        <f>VLOOKUP(LEFT($A18,4),'Auto Responses'!$N$4:$O$38,2,0)&amp;""</f>
        <v xml:space="preserve"> Required Questions</v>
      </c>
      <c r="B17" s="22"/>
      <c r="C17" s="13" t="s">
        <v>1497</v>
      </c>
      <c r="D17" s="13"/>
      <c r="E17" s="31" t="s">
        <v>848</v>
      </c>
      <c r="F17" s="187" t="s">
        <v>849</v>
      </c>
      <c r="I17" s="35"/>
      <c r="J17" s="35"/>
    </row>
    <row r="18" spans="1:10" s="1" customFormat="1" ht="54" customHeight="1" thickBot="1" x14ac:dyDescent="0.3">
      <c r="A18" s="19" t="s">
        <v>51</v>
      </c>
      <c r="B18" s="18" t="str">
        <f>VLOOKUP($A18,Questions!$A$2:$X$333,2,0)</f>
        <v>Does your product or service have an interface?</v>
      </c>
      <c r="C18" s="72" t="str">
        <f>VLOOKUP($A18,'START HERE'!$A$23:$F$36,3,0)&amp;""</f>
        <v>Yes</v>
      </c>
      <c r="D18" s="312" t="str">
        <f>VLOOKUP($A18,'START HERE'!$A$23:$F$36,4,0)&amp;""</f>
        <v xml:space="preserve">We provide interface directly in the LMS, or via the chrome extension. </v>
      </c>
      <c r="E18" s="167" t="str">
        <f>IF($C18='Auto Responses'!$J$3,VLOOKUP($A18,Questions!$A$2:$X$333,17,0)&amp;"",IF($C18='Auto Responses'!$J$4,VLOOKUP($A18,Questions!$A$2:$X$333,16,0)&amp;"",VLOOKUP($A18,Questions!$A$2:$X$333,15,0)&amp;""))</f>
        <v>DO complete the IT Accessibility worksheet.</v>
      </c>
      <c r="F18" s="201" t="str">
        <f>VLOOKUP($A18,'Institution Evaluation'!$A$56:$F$345,6,0)&amp;""</f>
        <v/>
      </c>
      <c r="G18" s="238" t="s">
        <v>1449</v>
      </c>
      <c r="I18" s="35"/>
      <c r="J18" s="35"/>
    </row>
    <row r="19" spans="1:10" s="1" customFormat="1" ht="37.35" customHeight="1" thickBot="1" x14ac:dyDescent="0.3">
      <c r="A19" s="63" t="str">
        <f>VLOOKUP(LEFT($A20,4),'Auto Responses'!$N$4:$O$38,2,0)&amp;""</f>
        <v xml:space="preserve"> IT Accessibility</v>
      </c>
      <c r="B19" s="22"/>
      <c r="C19" s="13" t="s">
        <v>1497</v>
      </c>
      <c r="D19" s="13" t="s">
        <v>72</v>
      </c>
      <c r="E19" s="31" t="s">
        <v>848</v>
      </c>
      <c r="F19" s="187" t="s">
        <v>849</v>
      </c>
      <c r="I19" s="35"/>
      <c r="J19" s="35"/>
    </row>
    <row r="20" spans="1:10" s="1" customFormat="1" ht="30" customHeight="1" x14ac:dyDescent="0.25">
      <c r="A20" s="19" t="s">
        <v>93</v>
      </c>
      <c r="B20" s="18" t="str">
        <f>VLOOKUP($A20,Questions!$A$2:$X$333,2,0)</f>
        <v>Solution Provider Accessibility Contact Name</v>
      </c>
      <c r="C20" s="77" t="s">
        <v>1910</v>
      </c>
      <c r="D20" s="313"/>
      <c r="E20" s="167" t="str">
        <f>IF($C$18='Auto Responses'!$J$4,'Auto Responses'!$A$4,IF($C20='Auto Responses'!$J$3,VLOOKUP($A20,Questions!$A$2:$X$333,17,0)&amp;"",IF($C20='Auto Responses'!$J$4,VLOOKUP($A20,Questions!$A$2:$X$333,16,0)&amp;"",VLOOKUP($A20,Questions!$A$2:$X$333,15,0)&amp;"")))</f>
        <v/>
      </c>
      <c r="F20" s="201" t="str">
        <f>VLOOKUP($A20,'Institution Evaluation'!$A$56:$F$345,6,0)&amp;""</f>
        <v/>
      </c>
      <c r="I20" s="35"/>
      <c r="J20" s="35"/>
    </row>
    <row r="21" spans="1:10" s="1" customFormat="1" ht="30" customHeight="1" x14ac:dyDescent="0.25">
      <c r="A21" s="19" t="s">
        <v>94</v>
      </c>
      <c r="B21" s="18" t="str">
        <f>VLOOKUP($A21,Questions!$A$2:$X$333,2,0)</f>
        <v>Solution Provider Accessibility Contact Title</v>
      </c>
      <c r="C21" s="77" t="s">
        <v>1911</v>
      </c>
      <c r="D21" s="313"/>
      <c r="E21" s="167" t="str">
        <f>IF($C$18='Auto Responses'!$J$4,'Auto Responses'!$A$4,IF($C21='Auto Responses'!$J$3,VLOOKUP($A21,Questions!$A$2:$X$333,17,0)&amp;"",IF($C21='Auto Responses'!$J$4,VLOOKUP($A21,Questions!$A$2:$X$333,16,0)&amp;"",VLOOKUP($A21,Questions!$A$2:$X$333,15,0)&amp;"")))</f>
        <v/>
      </c>
      <c r="F21" s="201" t="str">
        <f>VLOOKUP($A21,'Institution Evaluation'!$A$56:$F$345,6,0)&amp;""</f>
        <v/>
      </c>
      <c r="I21" s="35"/>
      <c r="J21" s="35"/>
    </row>
    <row r="22" spans="1:10" s="1" customFormat="1" ht="30" customHeight="1" x14ac:dyDescent="0.25">
      <c r="A22" s="19" t="s">
        <v>95</v>
      </c>
      <c r="B22" s="18" t="str">
        <f>VLOOKUP($A22,Questions!$A$2:$X$333,2,0)</f>
        <v>Solution Provider Accessibility Contact Email</v>
      </c>
      <c r="C22" s="363" t="s">
        <v>1912</v>
      </c>
      <c r="D22" s="313"/>
      <c r="E22" s="167" t="str">
        <f>IF($C$18='Auto Responses'!$J$4,'Auto Responses'!$A$4,IF($C22='Auto Responses'!$J$3,VLOOKUP($A22,Questions!$A$2:$X$333,17,0)&amp;"",IF($C22='Auto Responses'!$J$4,VLOOKUP($A22,Questions!$A$2:$X$333,16,0)&amp;"",VLOOKUP($A22,Questions!$A$2:$X$333,15,0)&amp;"")))</f>
        <v/>
      </c>
      <c r="F22" s="201" t="str">
        <f>VLOOKUP($A22,'Institution Evaluation'!$A$56:$F$345,6,0)&amp;""</f>
        <v/>
      </c>
      <c r="I22" s="35"/>
      <c r="J22" s="35"/>
    </row>
    <row r="23" spans="1:10" s="1" customFormat="1" ht="30" customHeight="1" x14ac:dyDescent="0.25">
      <c r="A23" s="19" t="s">
        <v>96</v>
      </c>
      <c r="B23" s="18" t="str">
        <f>VLOOKUP($A23,Questions!$A$2:$X$333,2,0)</f>
        <v>Solution Provider Accessibility Contact Phone Number</v>
      </c>
      <c r="C23" s="77" t="s">
        <v>1913</v>
      </c>
      <c r="D23" s="313"/>
      <c r="E23" s="167" t="str">
        <f>IF($C$18='Auto Responses'!$J$4,'Auto Responses'!$A$4,IF($C23='Auto Responses'!$J$3,VLOOKUP($A23,Questions!$A$2:$X$333,17,0)&amp;"",IF($C23='Auto Responses'!$J$4,VLOOKUP($A23,Questions!$A$2:$X$333,16,0)&amp;"",VLOOKUP($A23,Questions!$A$2:$X$333,15,0)&amp;"")))</f>
        <v/>
      </c>
      <c r="F23" s="201" t="str">
        <f>VLOOKUP($A23,'Institution Evaluation'!$A$56:$F$345,6,0)&amp;""</f>
        <v/>
      </c>
      <c r="I23" s="35"/>
      <c r="J23" s="35"/>
    </row>
    <row r="24" spans="1:10" s="1" customFormat="1" ht="30" customHeight="1" x14ac:dyDescent="0.25">
      <c r="A24" s="19" t="s">
        <v>97</v>
      </c>
      <c r="B24" s="18" t="str">
        <f>VLOOKUP($A24,Questions!$A$2:$X$333,2,0)</f>
        <v>Web Link to Accessibility Statement or VPAT</v>
      </c>
      <c r="C24" s="363" t="s">
        <v>1939</v>
      </c>
      <c r="D24" s="313"/>
      <c r="E24" s="167" t="str">
        <f>IF($C$18='Auto Responses'!$J$4,'Auto Responses'!$A$4,IF($C24='Auto Responses'!$J$3,VLOOKUP($A24,Questions!$A$2:$X$333,17,0)&amp;"",IF($C24='Auto Responses'!$J$4,VLOOKUP($A24,Questions!$A$2:$X$333,16,0)&amp;"",VLOOKUP($A24,Questions!$A$2:$X$333,15,0)&amp;"")))</f>
        <v>VPAT can also be added as an attachment</v>
      </c>
      <c r="F24" s="201" t="str">
        <f>VLOOKUP($A24,'Institution Evaluation'!$A$56:$F$345,6,0)&amp;""</f>
        <v/>
      </c>
      <c r="I24" s="35"/>
      <c r="J24" s="35"/>
    </row>
    <row r="25" spans="1:10" s="1" customFormat="1" ht="136.5" customHeight="1" x14ac:dyDescent="0.25">
      <c r="A25" s="19" t="s">
        <v>101</v>
      </c>
      <c r="B25" s="18" t="str">
        <f>VLOOKUP($A25,Questions!$A$2:$X$333,2,0)</f>
        <v>Has a VPAT or ACR been created or updated for the solution and version under consideration within the past 12 months?*</v>
      </c>
      <c r="C25" s="21" t="s">
        <v>40</v>
      </c>
      <c r="D25" s="336" t="s">
        <v>1938</v>
      </c>
      <c r="E25" s="167" t="str">
        <f>IF($C$18='Auto Responses'!$J$4,'Auto Responses'!$A$4,IF($C25='Auto Responses'!$J$3,VLOOKUP($A25,Questions!$A$2:$X$333,17,0)&amp;"",IF($C25='Auto Responses'!$J$4,VLOOKUP($A25,Questions!$A$2:$X$333,16,0)&amp;"",VLOOKUP($A25,Questions!$A$2:$X$333,15,0)&amp;"")))</f>
        <v>State the date the VPAT was completed. Include this VPAT in your submission and/or link to its web location.</v>
      </c>
      <c r="F25" s="201" t="str">
        <f>VLOOKUP($A25,'Institution Evaluation'!$A$56:$F$345,6,0)&amp;""</f>
        <v/>
      </c>
      <c r="I25" s="35"/>
      <c r="J25" s="35"/>
    </row>
    <row r="26" spans="1:10" s="1" customFormat="1" ht="82.5" customHeight="1" x14ac:dyDescent="0.25">
      <c r="A26" s="19" t="s">
        <v>103</v>
      </c>
      <c r="B26" s="18" t="str">
        <f>VLOOKUP($A26,Questions!$A$2:$X$333,2,0)</f>
        <v>Will your company agree to meet your stated accessibility standard or WCAG 2.1 AA as part of your contractual agreement for the solution?*</v>
      </c>
      <c r="C26" s="21" t="s">
        <v>40</v>
      </c>
      <c r="D26" s="336" t="s">
        <v>1947</v>
      </c>
      <c r="E26" s="167" t="str">
        <f>IF($C$18='Auto Responses'!$J$4,'Auto Responses'!$A$4,IF($C26='Auto Responses'!$J$3,VLOOKUP($A26,Questions!$A$2:$X$333,17,0)&amp;"",IF($C26='Auto Responses'!$J$4,VLOOKUP($A26,Questions!$A$2:$X$333,16,0)&amp;"",VLOOKUP($A26,Questions!$A$2:$X$333,15,0)&amp;"")))</f>
        <v/>
      </c>
      <c r="F26" s="201" t="str">
        <f>VLOOKUP($A26,'Institution Evaluation'!$A$56:$F$345,6,0)&amp;""</f>
        <v/>
      </c>
      <c r="I26" s="35"/>
      <c r="J26" s="35"/>
    </row>
    <row r="27" spans="1:10" s="1" customFormat="1" ht="161.25" customHeight="1" x14ac:dyDescent="0.25">
      <c r="A27" s="19" t="s">
        <v>106</v>
      </c>
      <c r="B27" s="18" t="str">
        <f>VLOOKUP($A27,Questions!$A$2:$X$333,2,0)</f>
        <v>Does the solution substantially conform to WCAG 2.1 AA?*</v>
      </c>
      <c r="C27" s="21" t="s">
        <v>40</v>
      </c>
      <c r="D27" s="336" t="s">
        <v>1948</v>
      </c>
      <c r="E27" s="167" t="str">
        <f>IF($C$18='Auto Responses'!$J$4,'Auto Responses'!$A$4,IF($C27='Auto Responses'!$J$3,VLOOKUP($A27,Questions!$A$2:$X$333,17,0)&amp;"",IF($C27='Auto Responses'!$J$4,VLOOKUP($A27,Questions!$A$2:$X$333,16,0)&amp;"",VLOOKUP($A27,Questions!$A$2:$X$333,15,0)&amp;"")))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7" s="201" t="str">
        <f>VLOOKUP($A27,'Institution Evaluation'!$A$56:$F$345,6,0)&amp;""</f>
        <v/>
      </c>
      <c r="I27" s="35"/>
      <c r="J27" s="35"/>
    </row>
    <row r="28" spans="1:10" s="1" customFormat="1" ht="104.25" customHeight="1" x14ac:dyDescent="0.25">
      <c r="A28" s="19" t="s">
        <v>108</v>
      </c>
      <c r="B28" s="18" t="str">
        <f>VLOOKUP($A28,Questions!$A$2:$X$333,2,0)</f>
        <v>Do you have a documented and implemented process for reporting and tracking accessibility issues?*</v>
      </c>
      <c r="C28" s="21" t="s">
        <v>40</v>
      </c>
      <c r="D28" s="336" t="s">
        <v>1949</v>
      </c>
      <c r="E28" s="167" t="str">
        <f>IF($C$18='Auto Responses'!$J$4,'Auto Responses'!$A$4,IF($C28='Auto Responses'!$J$3,VLOOKUP($A28,Questions!$A$2:$X$333,17,0)&amp;"",IF($C28='Auto Responses'!$J$4,VLOOKUP($A28,Questions!$A$2:$X$333,16,0)&amp;"",VLOOKUP($A28,Questions!$A$2:$X$333,15,0)&amp;"")))</f>
        <v>Describe the process and any recent examples of fixes as a result of the process.</v>
      </c>
      <c r="F28" s="201" t="str">
        <f>VLOOKUP($A28,'Institution Evaluation'!$A$56:$F$345,6,0)&amp;""</f>
        <v/>
      </c>
      <c r="I28" s="35"/>
      <c r="J28" s="35"/>
    </row>
    <row r="29" spans="1:10" s="1" customFormat="1" ht="104.25" customHeight="1" x14ac:dyDescent="0.25">
      <c r="A29" s="19" t="s">
        <v>111</v>
      </c>
      <c r="B29" s="18" t="str">
        <f>VLOOKUP($A29,Questions!$A$2:$X$333,2,0)</f>
        <v>Do you have documentation to support the accessibility features of your solution?</v>
      </c>
      <c r="C29" s="21" t="s">
        <v>40</v>
      </c>
      <c r="D29" s="336" t="s">
        <v>1950</v>
      </c>
      <c r="E29" s="167" t="str">
        <f>IF($C$18='Auto Responses'!$J$4,'Auto Responses'!$A$4,IF($C29='Auto Responses'!$J$3,VLOOKUP($A29,Questions!$A$2:$X$333,17,0)&amp;"",IF($C29='Auto Responses'!$J$4,VLOOKUP($A29,Questions!$A$2:$X$333,16,0)&amp;"",VLOOKUP($A29,Questions!$A$2:$X$333,15,0)&amp;"")))</f>
        <v>Provide examples with links where possible.</v>
      </c>
      <c r="F29" s="201" t="str">
        <f>VLOOKUP($A29,'Institution Evaluation'!$A$56:$F$345,6,0)&amp;""</f>
        <v/>
      </c>
      <c r="I29" s="35"/>
      <c r="J29" s="35"/>
    </row>
    <row r="30" spans="1:10" s="1" customFormat="1" ht="93.75" customHeight="1" x14ac:dyDescent="0.25">
      <c r="A30" s="19" t="s">
        <v>112</v>
      </c>
      <c r="B30" s="18" t="str">
        <f>VLOOKUP($A30,Questions!$A$2:$X$333,2,0)</f>
        <v>Has a third-party expert conducted an audit of the most recent version of your solution?</v>
      </c>
      <c r="C30" s="21" t="s">
        <v>40</v>
      </c>
      <c r="D30" s="336" t="s">
        <v>1946</v>
      </c>
      <c r="E30" s="167" t="str">
        <f>IF($C$18='Auto Responses'!$J$4,'Auto Responses'!$A$4,IF($C30='Auto Responses'!$J$3,VLOOKUP($A30,Questions!$A$2:$X$333,17,0)&amp;"",IF($C30='Auto Responses'!$J$4,VLOOKUP($A30,Questions!$A$2:$X$333,16,0)&amp;"",VLOOKUP($A30,Questions!$A$2:$X$333,15,0)&amp;"")))</f>
        <v>State when the audit was conducted and by whom. Include the results in your submission and/or link to its web location.</v>
      </c>
      <c r="F30" s="201" t="str">
        <f>VLOOKUP($A30,'Institution Evaluation'!$A$56:$F$345,6,0)&amp;""</f>
        <v/>
      </c>
      <c r="I30" s="35"/>
      <c r="J30" s="35"/>
    </row>
    <row r="31" spans="1:10" s="1" customFormat="1" ht="120" customHeight="1" x14ac:dyDescent="0.25">
      <c r="A31" s="19" t="s">
        <v>113</v>
      </c>
      <c r="B31" s="18" t="str">
        <f>VLOOKUP($A31,Questions!$A$2:$X$333,2,0)</f>
        <v>Do you have a documented and implemented process for verifying accessibility conformance?</v>
      </c>
      <c r="C31" s="21" t="s">
        <v>40</v>
      </c>
      <c r="D31" s="336" t="s">
        <v>1945</v>
      </c>
      <c r="E31" s="167" t="str">
        <f>IF($C$18='Auto Responses'!$J$4,'Auto Responses'!$A$4,IF($C31='Auto Responses'!$J$3,VLOOKUP($A31,Questions!$A$2:$X$333,17,0)&amp;"",IF($C31='Auto Responses'!$J$4,VLOOKUP($A31,Questions!$A$2:$X$333,16,0)&amp;"",VLOOKUP($A31,Questions!$A$2:$X$333,15,0)&amp;"")))</f>
        <v>Describe your processes and methodologies for validating accessibility conformance.</v>
      </c>
      <c r="F31" s="201" t="str">
        <f>VLOOKUP($A31,'Institution Evaluation'!$A$56:$F$345,6,0)&amp;""</f>
        <v/>
      </c>
      <c r="I31" s="35"/>
      <c r="J31" s="35"/>
    </row>
    <row r="32" spans="1:10" s="1" customFormat="1" ht="108" customHeight="1" x14ac:dyDescent="0.25">
      <c r="A32" s="19" t="s">
        <v>114</v>
      </c>
      <c r="B32" s="18" t="str">
        <f>VLOOKUP($A32,Questions!$A$2:$X$333,2,0)</f>
        <v>Have you adopted a technical or legal standard of conformance for the solution?</v>
      </c>
      <c r="C32" s="21" t="s">
        <v>40</v>
      </c>
      <c r="D32" s="336" t="s">
        <v>1944</v>
      </c>
      <c r="E32" s="167" t="str">
        <f>IF($C$18='Auto Responses'!$J$4,'Auto Responses'!$A$4,IF($C32='Auto Responses'!$J$3,VLOOKUP($A32,Questions!$A$2:$X$333,17,0)&amp;"",IF($C32='Auto Responses'!$J$4,VLOOKUP($A32,Questions!$A$2:$X$333,16,0)&amp;"",VLOOKUP($A32,Questions!$A$2:$X$333,15,0)&amp;"")))</f>
        <v>Indicate which primary standards and all additional standards the solution meets.</v>
      </c>
      <c r="F32" s="201" t="str">
        <f>VLOOKUP($A32,'Institution Evaluation'!$A$56:$F$345,6,0)&amp;""</f>
        <v/>
      </c>
      <c r="I32" s="35"/>
      <c r="J32" s="35"/>
    </row>
    <row r="33" spans="1:12" s="1" customFormat="1" ht="55.2" x14ac:dyDescent="0.25">
      <c r="A33" s="19" t="s">
        <v>116</v>
      </c>
      <c r="B33" s="18" t="str">
        <f>VLOOKUP($A33,Questions!$A$2:$X$333,2,0)</f>
        <v>Can you provide a current, detailed accessibility roadmap with delivery timelines?</v>
      </c>
      <c r="C33" s="21" t="s">
        <v>40</v>
      </c>
      <c r="D33" s="336" t="s">
        <v>1942</v>
      </c>
      <c r="E33" s="167" t="str">
        <f>IF($C$18='Auto Responses'!$J$4,'Auto Responses'!$A$4,IF($C33='Auto Responses'!$J$3,VLOOKUP($A33,Questions!$A$2:$X$333,17,0)&amp;"",IF($C33='Auto Responses'!$J$4,VLOOKUP($A33,Questions!$A$2:$X$333,16,0)&amp;"",VLOOKUP($A33,Questions!$A$2:$X$333,15,0)&amp;"")))</f>
        <v>Comment on how far into the future the roadmap extends. Provide evidence (including links) of having delivered upon the accessibility roadmap in the past.</v>
      </c>
      <c r="F33" s="201" t="str">
        <f>VLOOKUP($A33,'Institution Evaluation'!$A$56:$F$345,6,0)&amp;""</f>
        <v/>
      </c>
      <c r="I33" s="35"/>
      <c r="J33" s="35"/>
    </row>
    <row r="34" spans="1:12" s="1" customFormat="1" ht="41.4" x14ac:dyDescent="0.25">
      <c r="A34" s="19" t="s">
        <v>120</v>
      </c>
      <c r="B34" s="18" t="str">
        <f>VLOOKUP($A34,Questions!$A$2:$X$333,2,0)</f>
        <v>Do you expect your staff to maintain a current skill set in IT accessibility?</v>
      </c>
      <c r="C34" s="21" t="s">
        <v>148</v>
      </c>
      <c r="D34" s="336" t="s">
        <v>1940</v>
      </c>
      <c r="E34" s="167" t="str">
        <f>IF($C$18='Auto Responses'!$J$4,'Auto Responses'!$A$4,IF($C34='Auto Responses'!$J$3,VLOOKUP($A34,Questions!$A$2:$X$333,17,0)&amp;"",IF($C34='Auto Responses'!$J$4,VLOOKUP($A34,Questions!$A$2:$X$333,16,0)&amp;"",VLOOKUP($A34,Questions!$A$2:$X$333,15,0)&amp;"")))</f>
        <v>Describe any plans to ensure appropriate and ongoing staff knowledge about accessibility.</v>
      </c>
      <c r="F34" s="201" t="str">
        <f>VLOOKUP($A34,'Institution Evaluation'!$A$56:$F$345,6,0)&amp;""</f>
        <v/>
      </c>
      <c r="I34" s="35"/>
      <c r="J34" s="35"/>
    </row>
    <row r="35" spans="1:12" s="1" customFormat="1" ht="27.6" x14ac:dyDescent="0.25">
      <c r="A35" s="19" t="s">
        <v>123</v>
      </c>
      <c r="B35" s="18" t="str">
        <f>VLOOKUP($A35,Questions!$A$2:$X$333,2,0)</f>
        <v>Do you have documented processes and procedures for implementing accessibility into your development lifecycle?</v>
      </c>
      <c r="C35" s="21" t="s">
        <v>40</v>
      </c>
      <c r="D35" s="336" t="s">
        <v>1941</v>
      </c>
      <c r="E35" s="167" t="str">
        <f>IF($C$18='Auto Responses'!$J$4,'Auto Responses'!$A$4,IF($C35='Auto Responses'!$J$3,VLOOKUP($A35,Questions!$A$2:$X$333,17,0)&amp;"",IF($C35='Auto Responses'!$J$4,VLOOKUP($A35,Questions!$A$2:$X$333,16,0)&amp;"",VLOOKUP($A35,Questions!$A$2:$X$333,15,0)&amp;"")))</f>
        <v>Provide further details in Additional Information.</v>
      </c>
      <c r="F35" s="201" t="str">
        <f>VLOOKUP($A35,'Institution Evaluation'!$A$56:$F$345,6,0)&amp;""</f>
        <v/>
      </c>
      <c r="I35" s="35"/>
      <c r="J35" s="35"/>
    </row>
    <row r="36" spans="1:12" s="1" customFormat="1" ht="38.25" customHeight="1" x14ac:dyDescent="0.25">
      <c r="A36" s="19" t="s">
        <v>126</v>
      </c>
      <c r="B36" s="18" t="str">
        <f>VLOOKUP($A36,Questions!$A$2:$X$333,2,0)</f>
        <v>Can all functions of the application or service be performed using only the keyboard?</v>
      </c>
      <c r="C36" s="21" t="s">
        <v>40</v>
      </c>
      <c r="D36" s="336" t="s">
        <v>1943</v>
      </c>
      <c r="E36" s="167" t="str">
        <f>IF($C$18='Auto Responses'!$J$4,'Auto Responses'!$A$4,IF($C36='Auto Responses'!$J$3,VLOOKUP($A36,Questions!$A$2:$X$333,17,0)&amp;"",IF($C36='Auto Responses'!$J$4,VLOOKUP($A36,Questions!$A$2:$X$333,16,0)&amp;"",VLOOKUP($A36,Questions!$A$2:$X$333,15,0)&amp;"")))</f>
        <v>State when and on which platform this was verified.</v>
      </c>
      <c r="F36" s="201" t="str">
        <f>VLOOKUP($A36,'Institution Evaluation'!$A$56:$F$345,6,0)&amp;""</f>
        <v/>
      </c>
      <c r="I36" s="35"/>
      <c r="J36" s="35"/>
    </row>
    <row r="37" spans="1:12" s="1" customFormat="1" ht="127.5" customHeight="1" x14ac:dyDescent="0.25">
      <c r="A37" s="19" t="s">
        <v>129</v>
      </c>
      <c r="B37" s="18" t="str">
        <f>VLOOKUP($A37,Questions!$A$2:$X$333,2,0)</f>
        <v>Does your product rely on activating a special "accessibility mode," a "lite version," or using an alternate interface (including “overlay” or AI-based alternates)  for accessibility purposes?</v>
      </c>
      <c r="C37" s="21" t="s">
        <v>148</v>
      </c>
      <c r="D37" s="336"/>
      <c r="E37" s="167" t="str">
        <f>IF($C$18='Auto Responses'!$J$4,'Auto Responses'!$A$4,IF($C37='Auto Responses'!$J$3,VLOOKUP($A37,Questions!$A$2:$X$333,17,0)&amp;"",IF($C37='Auto Responses'!$J$4,VLOOKUP($A37,Questions!$A$2:$X$333,16,0)&amp;"",VLOOKUP($A37,Questions!$A$2:$X$333,15,0)&amp;"")))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37" s="201" t="str">
        <f>VLOOKUP($A37,'Institution Evaluation'!$A$56:$F$345,6,0)&amp;""</f>
        <v/>
      </c>
      <c r="G37" s="238" t="s">
        <v>1449</v>
      </c>
      <c r="I37" s="35"/>
      <c r="J37" s="35"/>
    </row>
    <row r="38" spans="1:12" s="171" customFormat="1" ht="42" customHeight="1" x14ac:dyDescent="0.25">
      <c r="A38" s="267" t="s">
        <v>1507</v>
      </c>
      <c r="B38" s="253"/>
      <c r="C38" s="254"/>
      <c r="D38" s="314"/>
      <c r="E38" s="256"/>
      <c r="F38" s="257"/>
      <c r="G38" s="258"/>
      <c r="I38" s="172"/>
      <c r="J38" s="172"/>
    </row>
    <row r="39" spans="1:12" s="1" customFormat="1" ht="15" hidden="1" customHeight="1" x14ac:dyDescent="0.25">
      <c r="A39"/>
      <c r="C39" s="8"/>
      <c r="D39" s="9"/>
      <c r="E39" s="10"/>
      <c r="I39" s="35"/>
      <c r="J39" s="35"/>
    </row>
    <row r="40" spans="1:12" ht="15" hidden="1" customHeight="1" x14ac:dyDescent="0.25">
      <c r="A40" s="1"/>
      <c r="B40" s="8"/>
      <c r="C40" s="71"/>
      <c r="D40" s="10"/>
      <c r="E40" s="1"/>
      <c r="H40" s="35"/>
      <c r="I40" s="1"/>
      <c r="J40" s="1"/>
      <c r="L40"/>
    </row>
    <row r="41" spans="1:12" ht="0" hidden="1" customHeight="1" x14ac:dyDescent="0.25">
      <c r="A41" s="19" t="e">
        <f>#REF!</f>
        <v>#REF!</v>
      </c>
    </row>
    <row r="42" spans="1:12" ht="0" hidden="1" customHeight="1" x14ac:dyDescent="0.25">
      <c r="A42" s="19" t="e">
        <f>#REF!</f>
        <v>#REF!</v>
      </c>
    </row>
    <row r="43" spans="1:12" ht="0" hidden="1" customHeight="1" x14ac:dyDescent="0.25">
      <c r="A43" s="19" t="e">
        <f>#REF!</f>
        <v>#REF!</v>
      </c>
    </row>
    <row r="44" spans="1:12" ht="0" hidden="1" customHeight="1" x14ac:dyDescent="0.25">
      <c r="A44" s="19" t="e">
        <f>#REF!</f>
        <v>#REF!</v>
      </c>
    </row>
    <row r="45" spans="1:12" ht="0" hidden="1" customHeight="1" x14ac:dyDescent="0.25">
      <c r="A45" s="19" t="e">
        <f>#REF!</f>
        <v>#REF!</v>
      </c>
    </row>
    <row r="46" spans="1:12" ht="0" hidden="1" customHeight="1" x14ac:dyDescent="0.25">
      <c r="A46" s="19" t="e">
        <f>#REF!</f>
        <v>#REF!</v>
      </c>
    </row>
    <row r="47" spans="1:12" ht="0" hidden="1" customHeight="1" x14ac:dyDescent="0.25">
      <c r="A47" s="19" t="e">
        <f>#REF!</f>
        <v>#REF!</v>
      </c>
    </row>
  </sheetData>
  <dataValidations count="3">
    <dataValidation allowBlank="1" showInputMessage="1" showErrorMessage="1" promptTitle="Warning!" prompt="The HECVAT is built using a number of complex formulas. Editing this cell can break the functionality of the tool. " sqref="D13:F16 A3:A38 C19:D19 C17:D17 C4:F12 C2:F2 D3:F3 B2:B38 E17:F37" xr:uid="{0F8CA259-A20F-44D0-B056-D4E572BCC26C}"/>
    <dataValidation allowBlank="1" showInputMessage="1" showErrorMessage="1" prompt="This cell should be left blank. Input your answer in column C." sqref="D20:D24" xr:uid="{BB71BC20-D71A-4329-9EB7-BB86EEEA3672}"/>
    <dataValidation allowBlank="1" showInputMessage="1" showErrorMessage="1" prompt="This answer has been populated from the &quot;START HERE&quot; tab and does not need to be re-entered." sqref="C18 C13:C16 C3" xr:uid="{909D3885-6C61-4775-AC6D-531E34A7A2D5}"/>
  </dataValidations>
  <hyperlinks>
    <hyperlink ref="A11" r:id="rId1" display="http://www.educause.edu/HECVAT" xr:uid="{5A6CDD08-3A9C-4C08-90F5-EFD4549B7006}"/>
    <hyperlink ref="C22" r:id="rId2" xr:uid="{17B81F1D-3C48-48CB-9D66-D528990299E8}"/>
    <hyperlink ref="C24" r:id="rId3" xr:uid="{58B37F04-2041-4BB7-A5DF-C6583EC5178F}"/>
  </hyperlinks>
  <pageMargins left="0.75" right="0.75" top="1" bottom="1" header="0.5" footer="0.5"/>
  <pageSetup orientation="landscape" r:id="rId4"/>
  <headerFooter>
    <oddFooter>&amp;L&amp;"Helvetica,Regular"&amp;12&amp;K000000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139FE42-BF81-465B-92BD-7BBE9E45A1ED}">
          <x14:formula1>
            <xm:f>'Auto Responses'!$J$3:$J$4</xm:f>
          </x14:formula1>
          <xm:sqref>C25:C38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9BCC-22A6-402F-9D9B-7BE4A2C8BA87}">
  <sheetPr>
    <tabColor rgb="FF00636C"/>
  </sheetPr>
  <dimension ref="A1:L94"/>
  <sheetViews>
    <sheetView showGridLines="0" showZeros="0" topLeftCell="A2" zoomScale="80" zoomScaleNormal="80" workbookViewId="0">
      <selection activeCell="A2" sqref="A2"/>
    </sheetView>
  </sheetViews>
  <sheetFormatPr defaultColWidth="0" defaultRowHeight="0" customHeight="1" zeroHeight="1" x14ac:dyDescent="0.25"/>
  <cols>
    <col min="1" max="1" width="8.3046875" customWidth="1"/>
    <col min="2" max="2" width="55.07421875" style="1" customWidth="1"/>
    <col min="3" max="3" width="18.921875" style="8" customWidth="1"/>
    <col min="4" max="4" width="55.69140625" style="9" customWidth="1"/>
    <col min="5" max="5" width="32" style="10" customWidth="1"/>
    <col min="6" max="6" width="32" style="1" customWidth="1"/>
    <col min="7" max="7" width="18.07421875" style="1" customWidth="1"/>
    <col min="8" max="8" width="18.07421875" style="1" hidden="1" customWidth="1"/>
    <col min="9" max="10" width="18.07421875" style="35" hidden="1" customWidth="1"/>
    <col min="11" max="11" width="4.4609375" style="1" hidden="1" customWidth="1"/>
    <col min="12" max="12" width="6.61328125" style="1" hidden="1" customWidth="1"/>
    <col min="13" max="16384" width="6.61328125" hidden="1"/>
  </cols>
  <sheetData>
    <row r="1" spans="1:10" ht="0" hidden="1" customHeight="1" x14ac:dyDescent="0.25">
      <c r="A1" t="s">
        <v>1448</v>
      </c>
    </row>
    <row r="2" spans="1:10" ht="36" customHeight="1" x14ac:dyDescent="0.25">
      <c r="A2" s="168" t="s">
        <v>1379</v>
      </c>
      <c r="B2" s="168"/>
      <c r="C2" s="169"/>
      <c r="D2" s="308"/>
      <c r="E2" s="170"/>
      <c r="F2" s="170" t="str">
        <f>'Auto Responses'!$A$36</f>
        <v>Version 4.1.5</v>
      </c>
      <c r="J2" s="1"/>
    </row>
    <row r="3" spans="1:10" s="1" customFormat="1" ht="29.1" customHeight="1" x14ac:dyDescent="0.25">
      <c r="A3" s="37" t="s">
        <v>940</v>
      </c>
      <c r="B3" s="38"/>
      <c r="C3" s="66">
        <f>'START HERE'!$C$3</f>
        <v>0</v>
      </c>
      <c r="D3" s="309"/>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10"/>
      <c r="E5" s="16"/>
      <c r="F5" s="261"/>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10"/>
      <c r="E6" s="16"/>
      <c r="F6" s="262"/>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10"/>
      <c r="E7" s="16"/>
      <c r="F7" s="262"/>
      <c r="I7" s="35"/>
    </row>
    <row r="8" spans="1:10" s="1" customFormat="1" ht="19.5" customHeight="1" x14ac:dyDescent="0.25">
      <c r="A8" s="42" t="str">
        <f>HLOOKUP($A$4,'Auto Responses'!$D$2:$D$8,5,0)&amp;""</f>
        <v>4. DO NOT complete any fields in the "Evaluation" sheets or the "Analyst Notes" column.</v>
      </c>
      <c r="B8" s="16"/>
      <c r="C8" s="67"/>
      <c r="D8" s="310"/>
      <c r="E8" s="16"/>
      <c r="F8" s="262"/>
      <c r="I8" s="35"/>
    </row>
    <row r="9" spans="1:10" s="1" customFormat="1" ht="19.5" customHeight="1" x14ac:dyDescent="0.25">
      <c r="A9" s="42" t="str">
        <f>HLOOKUP($A$4,'Auto Responses'!$D$2:$D$8,6,0)&amp;""</f>
        <v>5. Return the completed file to institutions.</v>
      </c>
      <c r="B9" s="16"/>
      <c r="C9" s="67"/>
      <c r="D9" s="310"/>
      <c r="E9" s="16"/>
      <c r="F9" s="262"/>
      <c r="I9" s="35"/>
    </row>
    <row r="10" spans="1:10" s="1" customFormat="1" ht="19.5" customHeight="1" x14ac:dyDescent="0.25">
      <c r="A10" s="247" t="str">
        <f>HLOOKUP($A$4,'Auto Responses'!$D$2:$D$8,7,0)&amp;""</f>
        <v>* Denotes critical questions. Critical questions are those deemed most important to institutions by higher education volunteers.</v>
      </c>
      <c r="B10" s="16"/>
      <c r="C10" s="67"/>
      <c r="D10" s="310"/>
      <c r="E10" s="16"/>
      <c r="F10" s="262"/>
      <c r="I10" s="35"/>
    </row>
    <row r="11" spans="1:10" s="1" customFormat="1" ht="19.5" customHeight="1" x14ac:dyDescent="0.25">
      <c r="A11" s="246" t="str">
        <f>HLOOKUP($A$4,'Auto Responses'!$D$2:$D$9,8,0)&amp;""</f>
        <v>For full instructions, please visit educause.edu/HECVAT</v>
      </c>
      <c r="B11" s="16"/>
      <c r="C11" s="67"/>
      <c r="D11" s="310"/>
      <c r="E11" s="16"/>
      <c r="F11" s="263"/>
      <c r="I11" s="35"/>
    </row>
    <row r="12" spans="1:10" s="1" customFormat="1" ht="36" customHeight="1" x14ac:dyDescent="0.25">
      <c r="A12" s="63" t="str">
        <f>VLOOKUP(LEFT($A13,4),'Auto Responses'!$N$4:$O$38,2,0)&amp;""</f>
        <v xml:space="preserve"> General Information</v>
      </c>
      <c r="B12" s="12"/>
      <c r="C12" s="13" t="s">
        <v>1497</v>
      </c>
      <c r="D12" s="311"/>
      <c r="E12" s="17"/>
      <c r="F12" s="17"/>
      <c r="I12" s="35"/>
      <c r="J12" s="35"/>
    </row>
    <row r="13" spans="1:10" s="1" customFormat="1" ht="22.35" customHeight="1" x14ac:dyDescent="0.25">
      <c r="A13" s="19" t="s">
        <v>21</v>
      </c>
      <c r="B13" s="20" t="str">
        <f>VLOOKUP($A13,Questions!$A$2:$X$333,2,0)&amp;""</f>
        <v>Solution Provider Name</v>
      </c>
      <c r="C13" s="76" t="str">
        <f>VLOOKUP($A13,'START HERE'!$A$13:$C$21,3,0)&amp;""</f>
        <v>Cursive Technology Inc</v>
      </c>
      <c r="D13" s="32"/>
      <c r="E13" s="32"/>
      <c r="F13" s="50"/>
      <c r="I13" s="35"/>
      <c r="J13" s="35"/>
    </row>
    <row r="14" spans="1:10" s="1" customFormat="1" ht="22.35" customHeight="1" x14ac:dyDescent="0.25">
      <c r="A14" s="19" t="s">
        <v>24</v>
      </c>
      <c r="B14" s="20" t="str">
        <f>VLOOKUP($A14,Questions!$A$2:$X$333,2,0)&amp;""</f>
        <v>Solution Name</v>
      </c>
      <c r="C14" s="76" t="str">
        <f>VLOOKUP($A14,'START HERE'!$A$13:$C$21,3,0)&amp;""</f>
        <v>TypeID</v>
      </c>
      <c r="D14" s="32"/>
      <c r="E14" s="32"/>
      <c r="F14" s="50"/>
      <c r="I14" s="35"/>
      <c r="J14" s="35"/>
    </row>
    <row r="15" spans="1:10" s="1" customFormat="1" ht="22.35" customHeight="1" x14ac:dyDescent="0.25">
      <c r="A15" s="19" t="s">
        <v>25</v>
      </c>
      <c r="B15" s="20" t="str">
        <f>VLOOKUP($A15,Questions!$A$2:$X$333,2,0)&amp;""</f>
        <v>Solution Description</v>
      </c>
      <c r="C15" s="76" t="str">
        <f>VLOOKUP($A15,'START HERE'!$A$13:$C$21,3,0)&amp;""</f>
        <v>Continuous authorship verification and writing analytics using typing biometrics. Native Moodle plugin, browser extension for any LMS, WordPress-based authorship report and verification system.</v>
      </c>
      <c r="D15" s="32"/>
      <c r="E15" s="32"/>
      <c r="F15" s="50"/>
      <c r="I15" s="35"/>
      <c r="J15" s="35"/>
    </row>
    <row r="16" spans="1:10" s="1" customFormat="1" ht="22.35" customHeight="1" thickBot="1" x14ac:dyDescent="0.3">
      <c r="A16" s="19" t="s">
        <v>30</v>
      </c>
      <c r="B16" s="20" t="str">
        <f>VLOOKUP($A16,Questions!$A$2:$X$333,2,0)&amp;""</f>
        <v>Country of Company Headquarters</v>
      </c>
      <c r="C16" s="76" t="str">
        <f>VLOOKUP($A16,'START HERE'!$A$13:$C$21,3,0)&amp;""</f>
        <v>USA</v>
      </c>
      <c r="D16" s="32"/>
      <c r="E16" s="32"/>
      <c r="F16" s="50"/>
      <c r="I16" s="35"/>
      <c r="J16" s="35"/>
    </row>
    <row r="17" spans="1:10" s="1" customFormat="1" ht="37.35" customHeight="1" thickBot="1" x14ac:dyDescent="0.3">
      <c r="A17" s="63" t="str">
        <f>VLOOKUP(LEFT($A18,4),'Auto Responses'!$N$4:$O$38,2,0)&amp;""</f>
        <v xml:space="preserve"> Required Questions</v>
      </c>
      <c r="B17" s="22"/>
      <c r="C17" s="13" t="s">
        <v>1497</v>
      </c>
      <c r="D17" s="13" t="s">
        <v>72</v>
      </c>
      <c r="E17" s="31" t="s">
        <v>848</v>
      </c>
      <c r="F17" s="187" t="s">
        <v>849</v>
      </c>
      <c r="I17" s="35"/>
      <c r="J17" s="35"/>
    </row>
    <row r="18" spans="1:10" s="1" customFormat="1" ht="38.25" customHeight="1" x14ac:dyDescent="0.25">
      <c r="A18" s="19" t="s">
        <v>54</v>
      </c>
      <c r="B18" s="18" t="str">
        <f>VLOOKUP($A18,Questions!$A$2:$X$333,2,0)</f>
        <v>Are you providing consulting services?</v>
      </c>
      <c r="C18" s="73" t="str">
        <f>VLOOKUP($A18,'START HERE'!$A$23:$F$36,3,0)&amp;""</f>
        <v>No</v>
      </c>
      <c r="D18" s="315" t="str">
        <f>VLOOKUP($A18,'START HERE'!$A$23:$F$36,4,0)&amp;""</f>
        <v/>
      </c>
      <c r="E18" s="167" t="str">
        <f>IF($C18='Auto Responses'!$J$3,VLOOKUP($A18,Questions!$A$2:$X$333,17,0)&amp;"",IF($C18='Auto Responses'!$J$4,VLOOKUP($A18,Questions!$A$2:$X$333,16,0)&amp;"",VLOOKUP($A18,Questions!$A$2:$X$333,15,0)&amp;""))</f>
        <v>DO NOT complete the Consulting section in the Case-Specific worksheet</v>
      </c>
      <c r="F18" s="201" t="str">
        <f>VLOOKUP($A18,'Institution Evaluation'!$A$56:$F$345,6,0)&amp;""</f>
        <v/>
      </c>
      <c r="I18" s="35"/>
      <c r="J18" s="35"/>
    </row>
    <row r="19" spans="1:10" s="1" customFormat="1" ht="51.75" customHeight="1" x14ac:dyDescent="0.25">
      <c r="A19" s="19" t="s">
        <v>61</v>
      </c>
      <c r="B19" s="18" t="str">
        <f>VLOOKUP($A19,Questions!$A$2:$X$333,2,0)</f>
        <v>Does your solution process protected health information (PHI) or any data covered by the Health Insurance Portability and Accountability Act (HIPAA)?</v>
      </c>
      <c r="C19" s="73" t="str">
        <f>VLOOKUP($A19,'START HERE'!$A$23:$F$36,3,0)&amp;""</f>
        <v>No</v>
      </c>
      <c r="D19" s="315" t="str">
        <f>VLOOKUP($A19,'START HERE'!$A$23:$F$36,4,0)&amp;""</f>
        <v/>
      </c>
      <c r="E19" s="167" t="str">
        <f>IF($C19='Auto Responses'!$J$3,VLOOKUP($A19,Questions!$A$2:$X$333,17,0)&amp;"",IF($C19='Auto Responses'!$J$4,VLOOKUP($A19,Questions!$A$2:$X$333,16,0)&amp;"",VLOOKUP($A19,Questions!$A$2:$X$333,15,0)&amp;""))</f>
        <v>DO NOT complete the HIPAA section in the Case-Specific worksheet</v>
      </c>
      <c r="F19" s="201" t="str">
        <f>VLOOKUP($A19,'Institution Evaluation'!$A$56:$F$345,6,0)&amp;""</f>
        <v/>
      </c>
      <c r="I19" s="35"/>
      <c r="J19" s="35"/>
    </row>
    <row r="20" spans="1:10" s="1" customFormat="1" ht="51.75" customHeight="1" x14ac:dyDescent="0.25">
      <c r="A20" s="19" t="s">
        <v>64</v>
      </c>
      <c r="B20" s="18" t="str">
        <f>VLOOKUP($A20,Questions!$A$2:$X$333,2,0)</f>
        <v>Is the solution designed to process, store, or transmit credit card information?</v>
      </c>
      <c r="C20" s="73" t="str">
        <f>VLOOKUP($A20,'START HERE'!$A$23:$F$36,3,0)&amp;""</f>
        <v>No</v>
      </c>
      <c r="D20" s="315" t="str">
        <f>VLOOKUP($A20,'START HERE'!$A$23:$F$36,4,0)&amp;""</f>
        <v/>
      </c>
      <c r="E20" s="167" t="str">
        <f>IF($C20='Auto Responses'!$J$3,VLOOKUP($A20,Questions!$A$2:$X$333,17,0)&amp;"",IF($C20='Auto Responses'!$J$4,VLOOKUP($A20,Questions!$A$2:$X$333,16,0)&amp;"",VLOOKUP($A20,Questions!$A$2:$X$333,15,0)&amp;""))</f>
        <v>DO NOT complete the PCI-DSS section in the Case-Specific worksheet</v>
      </c>
      <c r="F20" s="201" t="str">
        <f>VLOOKUP($A20,'Institution Evaluation'!$A$56:$F$345,6,0)&amp;""</f>
        <v/>
      </c>
      <c r="I20" s="35"/>
      <c r="J20" s="35"/>
    </row>
    <row r="21" spans="1:10" s="1" customFormat="1" ht="69" customHeight="1" thickBot="1" x14ac:dyDescent="0.3">
      <c r="A21" s="19" t="s">
        <v>67</v>
      </c>
      <c r="B21" s="18" t="str">
        <f>VLOOKUP($A21,Questions!$A$2:$X$333,2,0)</f>
        <v>Does operating your solution require the institution to operate a physical or virtual appliance in their own environment or to provide inbound firewall exceptions to allow your employees to remotely administer systems in the institution's environment?</v>
      </c>
      <c r="C21" s="73" t="str">
        <f>VLOOKUP($A21,'START HERE'!$A$23:$F$36,3,0)&amp;""</f>
        <v>No</v>
      </c>
      <c r="D21" s="315" t="str">
        <f>VLOOKUP($A21,'START HERE'!$A$23:$F$36,4,0)&amp;""</f>
        <v/>
      </c>
      <c r="E21" s="167" t="str">
        <f>IF($C21='Auto Responses'!$J$3,VLOOKUP($A21,Questions!$A$2:$X$333,17,0)&amp;"",IF($C21='Auto Responses'!$J$4,VLOOKUP($A21,Questions!$A$2:$X$333,16,0)&amp;"",VLOOKUP($A21,Questions!$A$2:$X$333,15,0)&amp;""))</f>
        <v>DO NOT complete the On-Prem section in the Case-Specific worksheet</v>
      </c>
      <c r="F21" s="201" t="str">
        <f>VLOOKUP($A21,'Institution Evaluation'!$A$56:$F$345,6,0)&amp;""</f>
        <v/>
      </c>
      <c r="G21" s="238" t="s">
        <v>1449</v>
      </c>
      <c r="I21" s="35"/>
      <c r="J21" s="35"/>
    </row>
    <row r="22" spans="1:10" s="1" customFormat="1" ht="37.35" customHeight="1" thickBot="1" x14ac:dyDescent="0.3">
      <c r="A22" s="63" t="str">
        <f>VLOOKUP(LEFT($A23,4),'Auto Responses'!$N$4:$O$38,2,0)&amp;""</f>
        <v xml:space="preserve"> Consulting Services</v>
      </c>
      <c r="B22" s="22"/>
      <c r="C22" s="13" t="s">
        <v>1497</v>
      </c>
      <c r="D22" s="13" t="s">
        <v>72</v>
      </c>
      <c r="E22" s="31" t="s">
        <v>848</v>
      </c>
      <c r="F22" s="187" t="s">
        <v>849</v>
      </c>
      <c r="I22" s="35"/>
      <c r="J22" s="35"/>
    </row>
    <row r="23" spans="1:10" s="1" customFormat="1" ht="41.4" x14ac:dyDescent="0.25">
      <c r="A23" s="19" t="s">
        <v>145</v>
      </c>
      <c r="B23" s="18" t="str">
        <f>VLOOKUP($A23,Questions!$A$2:$X$333,2,0)</f>
        <v>Will the consultant require access to the institution's network resources?*</v>
      </c>
      <c r="C23" s="21"/>
      <c r="D23" s="23"/>
      <c r="E23" s="167" t="str">
        <f>IF($C$18='Auto Responses'!$J$4,'Auto Responses'!$A$5,IF($C23='Auto Responses'!$J$3,VLOOKUP($A23,Questions!$A$2:$X$333,17,0)&amp;"",IF($C23='Auto Responses'!$J$4,VLOOKUP($A23,Questions!$A$2:$X$333,16,0)&amp;"",VLOOKUP($A23,Questions!$A$2:$X$333,15,0)&amp;"")))</f>
        <v>Based on the response to REQU-03 on the "START HERE" tab, this question does not apply to this product or service.</v>
      </c>
      <c r="F23" s="201" t="str">
        <f>VLOOKUP($A23,'Institution Evaluation'!$A$56:$F$345,6,0)&amp;""</f>
        <v/>
      </c>
      <c r="I23" s="35"/>
      <c r="J23" s="35"/>
    </row>
    <row r="24" spans="1:10" s="1" customFormat="1" ht="41.4" x14ac:dyDescent="0.25">
      <c r="A24" s="19" t="s">
        <v>149</v>
      </c>
      <c r="B24" s="18" t="str">
        <f>VLOOKUP($A24,Questions!$A$2:$X$333,2,0)</f>
        <v>Has the consultant received training on (sensitive, HIPAA, PCI, etc.) data handling?*</v>
      </c>
      <c r="C24" s="21"/>
      <c r="D24" s="326"/>
      <c r="E24" s="167" t="str">
        <f>IF($C$18='Auto Responses'!$J$4,'Auto Responses'!$A$5,IF($C24='Auto Responses'!$J$3,VLOOKUP($A24,Questions!$A$2:$X$333,17,0)&amp;"",IF($C24='Auto Responses'!$J$4,VLOOKUP($A24,Questions!$A$2:$X$333,16,0)&amp;"",VLOOKUP($A24,Questions!$A$2:$X$333,15,0)&amp;"")))</f>
        <v>Based on the response to REQU-03 on the "START HERE" tab, this question does not apply to this product or service.</v>
      </c>
      <c r="F24" s="201" t="str">
        <f>VLOOKUP($A24,'Institution Evaluation'!$A$56:$F$345,6,0)&amp;""</f>
        <v/>
      </c>
      <c r="I24" s="35"/>
      <c r="J24" s="35"/>
    </row>
    <row r="25" spans="1:10" s="1" customFormat="1" ht="36" customHeight="1" x14ac:dyDescent="0.25">
      <c r="A25" s="19" t="s">
        <v>150</v>
      </c>
      <c r="B25" s="18" t="str">
        <f>VLOOKUP($A25,Questions!$A$2:$X$333,2,0)</f>
        <v>Is the data encrypted (at rest) while in the consultant's possession?*</v>
      </c>
      <c r="C25" s="21"/>
      <c r="D25" s="326"/>
      <c r="E25" s="167" t="str">
        <f>IF($C$18='Auto Responses'!$J$4,'Auto Responses'!$A$5,IF($C25='Auto Responses'!$J$3,VLOOKUP($A25,Questions!$A$2:$X$333,17,0)&amp;"",IF($C25='Auto Responses'!$J$4,VLOOKUP($A25,Questions!$A$2:$X$333,16,0)&amp;"",IF($C25='Auto Responses'!$J$5,VLOOKUP($A25,Questions!$A$2:$X$333,18,0)&amp;"",VLOOKUP($A25,Questions!$A$2:$X$333,15,0)&amp;""))))</f>
        <v>Based on the response to REQU-03 on the "START HERE" tab, this question does not apply to this product or service.</v>
      </c>
      <c r="F25" s="201" t="str">
        <f>VLOOKUP($A25,'Institution Evaluation'!$A$56:$F$345,6,0)&amp;""</f>
        <v/>
      </c>
      <c r="H25" s="171"/>
      <c r="I25" s="35"/>
      <c r="J25" s="35"/>
    </row>
    <row r="26" spans="1:10" s="1" customFormat="1" ht="41.4" x14ac:dyDescent="0.25">
      <c r="A26" s="19" t="s">
        <v>152</v>
      </c>
      <c r="B26" s="18" t="str">
        <f>VLOOKUP($A26,Questions!$A$2:$X$333,2,0)</f>
        <v>Can access be restricted based on source IP address?*</v>
      </c>
      <c r="C26" s="21"/>
      <c r="D26" s="326"/>
      <c r="E26" s="167" t="str">
        <f>IF($C$18='Auto Responses'!$J$4,'Auto Responses'!$A$5,IF($C26='Auto Responses'!$J$3,VLOOKUP($A26,Questions!$A$2:$X$333,17,0)&amp;"",IF($C26='Auto Responses'!$J$4,VLOOKUP($A26,Questions!$A$2:$X$333,16,0)&amp;"",IF($C26='Auto Responses'!$J$5,VLOOKUP($A26,Questions!$A$2:$X$333,18,0)&amp;"",VLOOKUP($A26,Questions!$A$2:$X$333,15,0)&amp;""))))</f>
        <v>Based on the response to REQU-03 on the "START HERE" tab, this question does not apply to this product or service.</v>
      </c>
      <c r="F26" s="201" t="str">
        <f>VLOOKUP($A26,'Institution Evaluation'!$A$56:$F$345,6,0)&amp;""</f>
        <v/>
      </c>
      <c r="I26" s="35"/>
      <c r="J26" s="35"/>
    </row>
    <row r="27" spans="1:10" s="1" customFormat="1" ht="41.4" x14ac:dyDescent="0.25">
      <c r="A27" s="19" t="s">
        <v>154</v>
      </c>
      <c r="B27" s="18" t="str">
        <f>VLOOKUP($A27,Questions!$A$2:$X$333,2,0)</f>
        <v>Will the consulting take place on-premises?</v>
      </c>
      <c r="C27" s="21"/>
      <c r="D27" s="326"/>
      <c r="E27" s="167" t="str">
        <f>IF($C$18='Auto Responses'!$J$4,'Auto Responses'!$A$5,IF($C27='Auto Responses'!$J$3,VLOOKUP($A27,Questions!$A$2:$X$333,17,0)&amp;"",IF($C27='Auto Responses'!$J$4,VLOOKUP($A27,Questions!$A$2:$X$333,16,0)&amp;"",VLOOKUP($A27,Questions!$A$2:$X$333,15,0)&amp;"")))</f>
        <v>Based on the response to REQU-03 on the "START HERE" tab, this question does not apply to this product or service.</v>
      </c>
      <c r="F27" s="201" t="str">
        <f>VLOOKUP($A27,'Institution Evaluation'!$A$56:$F$345,6,0)&amp;""</f>
        <v/>
      </c>
      <c r="I27" s="35"/>
      <c r="J27" s="35"/>
    </row>
    <row r="28" spans="1:10" s="1" customFormat="1" ht="41.4" x14ac:dyDescent="0.25">
      <c r="A28" s="19" t="s">
        <v>155</v>
      </c>
      <c r="B28" s="18" t="str">
        <f>VLOOKUP($A28,Questions!$A$2:$X$333,2,0)</f>
        <v>Will the consultant require access to hardware in the institution's data centers?</v>
      </c>
      <c r="C28" s="21"/>
      <c r="D28" s="326"/>
      <c r="E28" s="167" t="str">
        <f>IF($C$18='Auto Responses'!$J$4,'Auto Responses'!$A$5,IF($C28='Auto Responses'!$J$3,VLOOKUP($A28,Questions!$A$2:$X$333,17,0)&amp;"",IF($C28='Auto Responses'!$J$4,VLOOKUP($A28,Questions!$A$2:$X$333,16,0)&amp;"",VLOOKUP($A28,Questions!$A$2:$X$333,15,0)&amp;"")))</f>
        <v>Based on the response to REQU-03 on the "START HERE" tab, this question does not apply to this product or service.</v>
      </c>
      <c r="F28" s="201" t="str">
        <f>VLOOKUP($A28,'Institution Evaluation'!$A$56:$F$345,6,0)&amp;""</f>
        <v/>
      </c>
      <c r="I28" s="35"/>
      <c r="J28" s="35"/>
    </row>
    <row r="29" spans="1:10" s="1" customFormat="1" ht="41.4" x14ac:dyDescent="0.25">
      <c r="A29" s="19" t="s">
        <v>157</v>
      </c>
      <c r="B29" s="18" t="str">
        <f>VLOOKUP($A29,Questions!$A$2:$X$333,2,0)</f>
        <v>Will the consultant require an account within the institution's domain (@*.edu)?</v>
      </c>
      <c r="C29" s="21"/>
      <c r="D29" s="326"/>
      <c r="E29" s="167" t="str">
        <f>IF($C$18='Auto Responses'!$J$4,'Auto Responses'!$A$5,IF($C29='Auto Responses'!$J$3,VLOOKUP($A29,Questions!$A$2:$X$333,17,0)&amp;"",IF($C29='Auto Responses'!$J$4,VLOOKUP($A29,Questions!$A$2:$X$333,16,0)&amp;"",VLOOKUP($A29,Questions!$A$2:$X$333,15,0)&amp;"")))</f>
        <v>Based on the response to REQU-03 on the "START HERE" tab, this question does not apply to this product or service.</v>
      </c>
      <c r="F29" s="201" t="str">
        <f>VLOOKUP($A29,'Institution Evaluation'!$A$56:$F$345,6,0)&amp;""</f>
        <v/>
      </c>
      <c r="I29" s="35"/>
      <c r="J29" s="35"/>
    </row>
    <row r="30" spans="1:10" s="1" customFormat="1" ht="41.4" x14ac:dyDescent="0.25">
      <c r="A30" s="19" t="s">
        <v>158</v>
      </c>
      <c r="B30" s="18" t="str">
        <f>VLOOKUP($A30,Questions!$A$2:$X$333,2,0)</f>
        <v>Will any data be transferred to the consultant's possession?</v>
      </c>
      <c r="C30" s="21"/>
      <c r="D30" s="326"/>
      <c r="E30" s="167" t="str">
        <f>IF($C$18='Auto Responses'!$J$4,'Auto Responses'!$A$5,IF($C30='Auto Responses'!$J$3,VLOOKUP($A30,Questions!$A$2:$X$333,17,0)&amp;"",IF($C30='Auto Responses'!$J$4,VLOOKUP($A30,Questions!$A$2:$X$333,16,0)&amp;"",VLOOKUP($A30,Questions!$A$2:$X$333,15,0)&amp;"")))</f>
        <v>Based on the response to REQU-03 on the "START HERE" tab, this question does not apply to this product or service.</v>
      </c>
      <c r="F30" s="201" t="str">
        <f>VLOOKUP($A30,'Institution Evaluation'!$A$56:$F$345,6,0)&amp;""</f>
        <v/>
      </c>
      <c r="I30" s="35"/>
      <c r="J30" s="35"/>
    </row>
    <row r="31" spans="1:10" s="1" customFormat="1" ht="42" thickBot="1" x14ac:dyDescent="0.3">
      <c r="A31" s="19" t="s">
        <v>160</v>
      </c>
      <c r="B31" s="18" t="str">
        <f>VLOOKUP($A31,Questions!$A$2:$X$333,2,0)</f>
        <v>Will the consultant need remote access to the institution's network or systems?</v>
      </c>
      <c r="C31" s="21"/>
      <c r="D31" s="326"/>
      <c r="E31" s="167" t="str">
        <f>IF($C$18='Auto Responses'!$J$4,'Auto Responses'!$A$5,IF($C31='Auto Responses'!$J$3,VLOOKUP($A31,Questions!$A$2:$X$333,17,0)&amp;"",IF($C31='Auto Responses'!$J$4,VLOOKUP($A31,Questions!$A$2:$X$333,16,0)&amp;"",VLOOKUP($A31,Questions!$A$2:$X$333,15,0)&amp;"")))</f>
        <v>Based on the response to REQU-03 on the "START HERE" tab, this question does not apply to this product or service.</v>
      </c>
      <c r="F31" s="201" t="str">
        <f>VLOOKUP($A31,'Institution Evaluation'!$A$56:$F$345,6,0)&amp;""</f>
        <v/>
      </c>
      <c r="G31" s="238" t="s">
        <v>1449</v>
      </c>
      <c r="I31" s="35"/>
      <c r="J31" s="35"/>
    </row>
    <row r="32" spans="1:10" s="1" customFormat="1" ht="37.35" customHeight="1" thickBot="1" x14ac:dyDescent="0.3">
      <c r="A32" s="63" t="str">
        <f>VLOOKUP(LEFT($A33,4),'Auto Responses'!$N$4:$O$38,2,0)&amp;""</f>
        <v xml:space="preserve">HIPAA Compliance </v>
      </c>
      <c r="B32" s="22"/>
      <c r="C32" s="13" t="s">
        <v>1497</v>
      </c>
      <c r="D32" s="13" t="s">
        <v>72</v>
      </c>
      <c r="E32" s="31" t="s">
        <v>848</v>
      </c>
      <c r="F32" s="187" t="s">
        <v>849</v>
      </c>
      <c r="I32" s="35"/>
      <c r="J32" s="35"/>
    </row>
    <row r="33" spans="1:10" s="1" customFormat="1" ht="49.5" customHeight="1" x14ac:dyDescent="0.25">
      <c r="A33" s="19" t="s">
        <v>590</v>
      </c>
      <c r="B33" s="18" t="str">
        <f>VLOOKUP($A33,Questions!$A$2:$X$333,2,0)</f>
        <v>Do your workforce members receive regular training related to the Health Insurance Portability and Accountability Act (HIPAA) Privacy and Security Rules and the HITECH Act?*</v>
      </c>
      <c r="C33" s="21"/>
      <c r="D33" s="326"/>
      <c r="E33" s="167" t="str">
        <f>IF($C$19='Auto Responses'!$J$4,'Auto Responses'!$A$7,IF($C33='Auto Responses'!$J$3,VLOOKUP($A33,Questions!$A$2:$X$333,17,0)&amp;"",IF($C33='Auto Responses'!$J$4,VLOOKUP($A33,Questions!$A$2:$X$333,16,0)&amp;"",VLOOKUP($A33,Questions!$A$2:$X$333,15,0)&amp;"")))</f>
        <v>Based on the response to REQU-05 on the "START HERE" tab, this question does not apply to this product or service.</v>
      </c>
      <c r="F33" s="201" t="str">
        <f>VLOOKUP($A33,'Institution Evaluation'!$A$56:$F$345,6,0)&amp;""</f>
        <v/>
      </c>
      <c r="I33" s="35"/>
      <c r="J33" s="35"/>
    </row>
    <row r="34" spans="1:10" s="1" customFormat="1" ht="49.5" customHeight="1" x14ac:dyDescent="0.25">
      <c r="A34" s="19" t="s">
        <v>595</v>
      </c>
      <c r="B34" s="18" t="str">
        <f>VLOOKUP($A34,Questions!$A$2:$X$333,2,0)</f>
        <v>Have you identified areas of risk?*</v>
      </c>
      <c r="C34" s="21"/>
      <c r="D34" s="326"/>
      <c r="E34" s="167" t="str">
        <f>IF($C$19='Auto Responses'!$J$4,'Auto Responses'!$A$7,IF($C34='Auto Responses'!$J$3,VLOOKUP($A34,Questions!$A$2:$X$333,17,0)&amp;"",IF($C34='Auto Responses'!$J$4,VLOOKUP($A34,Questions!$A$2:$X$333,16,0)&amp;"",VLOOKUP($A34,Questions!$A$2:$X$333,15,0)&amp;"")))</f>
        <v>Based on the response to REQU-05 on the "START HERE" tab, this question does not apply to this product or service.</v>
      </c>
      <c r="F34" s="201" t="str">
        <f>VLOOKUP($A34,'Institution Evaluation'!$A$56:$F$345,6,0)&amp;""</f>
        <v/>
      </c>
      <c r="I34" s="35"/>
      <c r="J34" s="35"/>
    </row>
    <row r="35" spans="1:10" s="1" customFormat="1" ht="49.5" customHeight="1" x14ac:dyDescent="0.25">
      <c r="A35" s="19" t="s">
        <v>597</v>
      </c>
      <c r="B35" s="18" t="str">
        <f>VLOOKUP($A35,Questions!$A$2:$X$333,2,0)</f>
        <v>Have the relevant policies/plans been tested?*</v>
      </c>
      <c r="C35" s="21"/>
      <c r="D35" s="326"/>
      <c r="E35" s="167" t="str">
        <f>IF($C$19='Auto Responses'!$J$4,'Auto Responses'!$A$7,IF($C35='Auto Responses'!$J$3,VLOOKUP($A35,Questions!$A$2:$X$333,17,0)&amp;"",IF($C35='Auto Responses'!$J$4,VLOOKUP($A35,Questions!$A$2:$X$333,16,0)&amp;"",VLOOKUP($A35,Questions!$A$2:$X$333,15,0)&amp;"")))</f>
        <v>Based on the response to REQU-05 on the "START HERE" tab, this question does not apply to this product or service.</v>
      </c>
      <c r="F35" s="201" t="str">
        <f>VLOOKUP($A35,'Institution Evaluation'!$A$56:$F$345,6,0)&amp;""</f>
        <v/>
      </c>
      <c r="I35" s="35"/>
      <c r="J35" s="35"/>
    </row>
    <row r="36" spans="1:10" s="1" customFormat="1" ht="49.5" customHeight="1" x14ac:dyDescent="0.25">
      <c r="A36" s="19" t="s">
        <v>599</v>
      </c>
      <c r="B36" s="18" t="str">
        <f>VLOOKUP($A36,Questions!$A$2:$X$333,2,0)</f>
        <v>Have you entered into a Business Associate Agreements with all subcontractors who may have access to protected health information (PHI)?*</v>
      </c>
      <c r="C36" s="21"/>
      <c r="D36" s="326"/>
      <c r="E36" s="167" t="str">
        <f>IF($C$19='Auto Responses'!$J$4,'Auto Responses'!$A$7,IF($C36='Auto Responses'!$J$3,VLOOKUP($A36,Questions!$A$2:$X$333,17,0)&amp;"",IF($C36='Auto Responses'!$J$4,VLOOKUP($A36,Questions!$A$2:$X$333,16,0)&amp;"",VLOOKUP($A36,Questions!$A$2:$X$333,15,0)&amp;"")))</f>
        <v>Based on the response to REQU-05 on the "START HERE" tab, this question does not apply to this product or service.</v>
      </c>
      <c r="F36" s="201" t="str">
        <f>VLOOKUP($A36,'Institution Evaluation'!$A$56:$F$345,6,0)&amp;""</f>
        <v/>
      </c>
      <c r="I36" s="35"/>
      <c r="J36" s="35"/>
    </row>
    <row r="37" spans="1:10" s="1" customFormat="1" ht="49.5" customHeight="1" x14ac:dyDescent="0.25">
      <c r="A37" s="19" t="s">
        <v>601</v>
      </c>
      <c r="B37" s="18" t="str">
        <f>VLOOKUP($A37,Questions!$A$2:$X$333,2,0)</f>
        <v>Do you monitor or receive information regarding changes in HIPAA regulations?</v>
      </c>
      <c r="C37" s="21"/>
      <c r="D37" s="326"/>
      <c r="E37" s="167" t="str">
        <f>IF($C$19='Auto Responses'!$J$4,'Auto Responses'!$A$7,IF($C37='Auto Responses'!$J$3,VLOOKUP($A37,Questions!$A$2:$X$333,17,0)&amp;"",IF($C37='Auto Responses'!$J$4,VLOOKUP($A37,Questions!$A$2:$X$333,16,0)&amp;"",VLOOKUP($A37,Questions!$A$2:$X$333,15,0)&amp;"")))</f>
        <v>Based on the response to REQU-05 on the "START HERE" tab, this question does not apply to this product or service.</v>
      </c>
      <c r="F37" s="201" t="str">
        <f>VLOOKUP($A37,'Institution Evaluation'!$A$56:$F$345,6,0)&amp;""</f>
        <v/>
      </c>
      <c r="I37" s="35"/>
      <c r="J37" s="35"/>
    </row>
    <row r="38" spans="1:10" s="1" customFormat="1" ht="49.5" customHeight="1" x14ac:dyDescent="0.25">
      <c r="A38" s="19" t="s">
        <v>602</v>
      </c>
      <c r="B38" s="18" t="str">
        <f>VLOOKUP($A38,Questions!$A$2:$X$333,2,0)</f>
        <v>Has your organization designated HIPAA Privacy and Security officers as required by the rules?</v>
      </c>
      <c r="C38" s="21"/>
      <c r="D38" s="326"/>
      <c r="E38" s="167" t="str">
        <f>IF($C$19='Auto Responses'!$J$4,'Auto Responses'!$A$7,IF($C38='Auto Responses'!$J$3,VLOOKUP($A38,Questions!$A$2:$X$333,17,0)&amp;"",IF($C38='Auto Responses'!$J$4,VLOOKUP($A38,Questions!$A$2:$X$333,16,0)&amp;"",VLOOKUP($A38,Questions!$A$2:$X$333,15,0)&amp;"")))</f>
        <v>Based on the response to REQU-05 on the "START HERE" tab, this question does not apply to this product or service.</v>
      </c>
      <c r="F38" s="201" t="str">
        <f>VLOOKUP($A38,'Institution Evaluation'!$A$56:$F$345,6,0)&amp;""</f>
        <v/>
      </c>
      <c r="I38" s="35"/>
      <c r="J38" s="35"/>
    </row>
    <row r="39" spans="1:10" s="1" customFormat="1" ht="49.5" customHeight="1" x14ac:dyDescent="0.25">
      <c r="A39" s="19" t="s">
        <v>603</v>
      </c>
      <c r="B39" s="18" t="str">
        <f>VLOOKUP($A39,Questions!$A$2:$X$333,2,0)</f>
        <v>Do you comply with the requirements of the Health Information Technology for Economic and Clinical Health Act (HITECH)?</v>
      </c>
      <c r="C39" s="21"/>
      <c r="D39" s="326"/>
      <c r="E39" s="167" t="str">
        <f>IF($C$19='Auto Responses'!$J$4,'Auto Responses'!$A$7,IF($C39='Auto Responses'!$J$3,VLOOKUP($A39,Questions!$A$2:$X$333,17,0)&amp;"",IF($C39='Auto Responses'!$J$4,VLOOKUP($A39,Questions!$A$2:$X$333,16,0)&amp;"",VLOOKUP($A39,Questions!$A$2:$X$333,15,0)&amp;"")))</f>
        <v>Based on the response to REQU-05 on the "START HERE" tab, this question does not apply to this product or service.</v>
      </c>
      <c r="F39" s="201" t="str">
        <f>VLOOKUP($A39,'Institution Evaluation'!$A$56:$F$345,6,0)&amp;""</f>
        <v/>
      </c>
      <c r="I39" s="35"/>
      <c r="J39" s="35"/>
    </row>
    <row r="40" spans="1:10" s="1" customFormat="1" ht="49.5" customHeight="1" x14ac:dyDescent="0.25">
      <c r="A40" s="19" t="s">
        <v>605</v>
      </c>
      <c r="B40" s="18" t="str">
        <f>VLOOKUP($A40,Questions!$A$2:$X$333,2,0)</f>
        <v>Have you conducted a risk analysis as required under the HIPAA Security Rule?</v>
      </c>
      <c r="C40" s="21"/>
      <c r="D40" s="326"/>
      <c r="E40" s="167" t="str">
        <f>IF($C$19='Auto Responses'!$J$4,'Auto Responses'!$A$7,IF($C40='Auto Responses'!$J$3,VLOOKUP($A40,Questions!$A$2:$X$333,17,0)&amp;"",IF($C40='Auto Responses'!$J$4,VLOOKUP($A40,Questions!$A$2:$X$333,16,0)&amp;"",VLOOKUP($A40,Questions!$A$2:$X$333,15,0)&amp;"")))</f>
        <v>Based on the response to REQU-05 on the "START HERE" tab, this question does not apply to this product or service.</v>
      </c>
      <c r="F40" s="201" t="str">
        <f>VLOOKUP($A40,'Institution Evaluation'!$A$56:$F$345,6,0)&amp;""</f>
        <v/>
      </c>
      <c r="I40" s="35"/>
      <c r="J40" s="35"/>
    </row>
    <row r="41" spans="1:10" s="1" customFormat="1" ht="49.5" customHeight="1" x14ac:dyDescent="0.25">
      <c r="A41" s="19" t="s">
        <v>607</v>
      </c>
      <c r="B41" s="18" t="str">
        <f>VLOOKUP($A41,Questions!$A$2:$X$333,2,0)</f>
        <v>Have you taken actions to mitigate the identified risks?</v>
      </c>
      <c r="C41" s="21"/>
      <c r="D41" s="326"/>
      <c r="E41" s="167" t="str">
        <f>IF($C$19='Auto Responses'!$J$4,'Auto Responses'!$A$7,IF($C41='Auto Responses'!$J$3,VLOOKUP($A41,Questions!$A$2:$X$333,17,0)&amp;"",IF($C41='Auto Responses'!$J$4,VLOOKUP($A41,Questions!$A$2:$X$333,16,0)&amp;"",VLOOKUP($A41,Questions!$A$2:$X$333,15,0)&amp;"")))</f>
        <v>Based on the response to REQU-05 on the "START HERE" tab, this question does not apply to this product or service.</v>
      </c>
      <c r="F41" s="201" t="str">
        <f>VLOOKUP($A41,'Institution Evaluation'!$A$56:$F$345,6,0)&amp;""</f>
        <v/>
      </c>
      <c r="I41" s="35"/>
      <c r="J41" s="35"/>
    </row>
    <row r="42" spans="1:10" s="1" customFormat="1" ht="49.5" customHeight="1" x14ac:dyDescent="0.25">
      <c r="A42" s="19" t="s">
        <v>609</v>
      </c>
      <c r="B42" s="18" t="str">
        <f>VLOOKUP($A42,Questions!$A$2:$X$333,2,0)</f>
        <v>Does your application require user and system administrator password changes at a frequency no greater than 90 days?</v>
      </c>
      <c r="C42" s="21"/>
      <c r="D42" s="326"/>
      <c r="E42" s="167" t="str">
        <f>IF($C$19='Auto Responses'!$J$4,'Auto Responses'!$A$7,IF($C42='Auto Responses'!$J$3,VLOOKUP($A42,Questions!$A$2:$X$333,17,0)&amp;"",IF($C42='Auto Responses'!$J$4,VLOOKUP($A42,Questions!$A$2:$X$333,16,0)&amp;"",VLOOKUP($A42,Questions!$A$2:$X$333,15,0)&amp;"")))</f>
        <v>Based on the response to REQU-05 on the "START HERE" tab, this question does not apply to this product or service.</v>
      </c>
      <c r="F42" s="201" t="str">
        <f>VLOOKUP($A42,'Institution Evaluation'!$A$56:$F$345,6,0)&amp;""</f>
        <v/>
      </c>
      <c r="I42" s="35"/>
      <c r="J42" s="35"/>
    </row>
    <row r="43" spans="1:10" s="1" customFormat="1" ht="49.5" customHeight="1" x14ac:dyDescent="0.25">
      <c r="A43" s="19" t="s">
        <v>611</v>
      </c>
      <c r="B43" s="18" t="str">
        <f>VLOOKUP($A43,Questions!$A$2:$X$333,2,0)</f>
        <v>Does your application require users to set their own password after an administrator reset or on first use of the account?</v>
      </c>
      <c r="C43" s="21"/>
      <c r="D43" s="320"/>
      <c r="E43" s="167" t="str">
        <f>IF($C$19='Auto Responses'!$J$4,'Auto Responses'!$A$7,IF($C43='Auto Responses'!$J$3,VLOOKUP($A43,Questions!$A$2:$X$333,17,0)&amp;"",IF($C43='Auto Responses'!$J$4,VLOOKUP($A43,Questions!$A$2:$X$333,16,0)&amp;"",VLOOKUP($A43,Questions!$A$2:$X$333,15,0)&amp;"")))</f>
        <v>Based on the response to REQU-05 on the "START HERE" tab, this question does not apply to this product or service.</v>
      </c>
      <c r="F43" s="201" t="str">
        <f>VLOOKUP($A43,'Institution Evaluation'!$A$56:$F$345,6,0)&amp;""</f>
        <v/>
      </c>
      <c r="I43" s="35"/>
      <c r="J43" s="35"/>
    </row>
    <row r="44" spans="1:10" s="1" customFormat="1" ht="49.5" customHeight="1" x14ac:dyDescent="0.25">
      <c r="A44" s="19" t="s">
        <v>613</v>
      </c>
      <c r="B44" s="18" t="str">
        <f>VLOOKUP($A44,Questions!$A$2:$X$333,2,0)</f>
        <v>Does your application lock out an account after a number of failed login attempts?</v>
      </c>
      <c r="C44" s="21"/>
      <c r="D44" s="320"/>
      <c r="E44" s="167" t="str">
        <f>IF($C$19='Auto Responses'!$J$4,'Auto Responses'!$A$7,IF($C44='Auto Responses'!$J$3,VLOOKUP($A44,Questions!$A$2:$X$333,17,0)&amp;"",IF($C44='Auto Responses'!$J$4,VLOOKUP($A44,Questions!$A$2:$X$333,16,0)&amp;"",VLOOKUP($A44,Questions!$A$2:$X$333,15,0)&amp;"")))</f>
        <v>Based on the response to REQU-05 on the "START HERE" tab, this question does not apply to this product or service.</v>
      </c>
      <c r="F44" s="201" t="str">
        <f>VLOOKUP($A44,'Institution Evaluation'!$A$56:$F$345,6,0)&amp;""</f>
        <v/>
      </c>
      <c r="I44" s="35"/>
      <c r="J44" s="35"/>
    </row>
    <row r="45" spans="1:10" s="1" customFormat="1" ht="49.5" customHeight="1" x14ac:dyDescent="0.25">
      <c r="A45" s="19" t="s">
        <v>615</v>
      </c>
      <c r="B45" s="18" t="str">
        <f>VLOOKUP($A45,Questions!$A$2:$X$333,2,0)</f>
        <v>Does your application automatically lock or log-out an account after a period of inactivity?</v>
      </c>
      <c r="C45" s="21"/>
      <c r="D45" s="320"/>
      <c r="E45" s="167" t="str">
        <f>IF($C$19='Auto Responses'!$J$4,'Auto Responses'!$A$7,IF($C45='Auto Responses'!$J$3,VLOOKUP($A45,Questions!$A$2:$X$333,17,0)&amp;"",IF($C45='Auto Responses'!$J$4,VLOOKUP($A45,Questions!$A$2:$X$333,16,0)&amp;"",VLOOKUP($A45,Questions!$A$2:$X$333,15,0)&amp;"")))</f>
        <v>Based on the response to REQU-05 on the "START HERE" tab, this question does not apply to this product or service.</v>
      </c>
      <c r="F45" s="201" t="str">
        <f>VLOOKUP($A45,'Institution Evaluation'!$A$56:$F$345,6,0)&amp;""</f>
        <v/>
      </c>
      <c r="I45" s="35"/>
      <c r="J45" s="35"/>
    </row>
    <row r="46" spans="1:10" s="1" customFormat="1" ht="49.5" customHeight="1" x14ac:dyDescent="0.25">
      <c r="A46" s="19" t="s">
        <v>617</v>
      </c>
      <c r="B46" s="18" t="str">
        <f>VLOOKUP($A46,Questions!$A$2:$X$333,2,0)</f>
        <v>Are passwords visible in plain text, whether when stored or entered, including service level accounts (i.e., database accounts, etc.)?</v>
      </c>
      <c r="C46" s="21"/>
      <c r="D46" s="320"/>
      <c r="E46" s="167" t="str">
        <f>IF($C$19='Auto Responses'!$J$4,'Auto Responses'!$A$7,IF($C46='Auto Responses'!$J$3,VLOOKUP($A46,Questions!$A$2:$X$333,17,0)&amp;"",IF($C46='Auto Responses'!$J$4,VLOOKUP($A46,Questions!$A$2:$X$333,16,0)&amp;"",VLOOKUP($A46,Questions!$A$2:$X$333,15,0)&amp;"")))</f>
        <v>Based on the response to REQU-05 on the "START HERE" tab, this question does not apply to this product or service.</v>
      </c>
      <c r="F46" s="201" t="str">
        <f>VLOOKUP($A46,'Institution Evaluation'!$A$56:$F$345,6,0)&amp;""</f>
        <v/>
      </c>
      <c r="I46" s="35"/>
      <c r="J46" s="35"/>
    </row>
    <row r="47" spans="1:10" s="1" customFormat="1" ht="49.5" customHeight="1" x14ac:dyDescent="0.25">
      <c r="A47" s="19" t="s">
        <v>619</v>
      </c>
      <c r="B47" s="18" t="str">
        <f>VLOOKUP($A47,Questions!$A$2:$X$333,2,0)</f>
        <v>If the application is institution-hosted, can all service level and administrative account passwords be changed by the institution?</v>
      </c>
      <c r="C47" s="21"/>
      <c r="D47" s="320"/>
      <c r="E47" s="167" t="str">
        <f>IF($C$19='Auto Responses'!$J$4,'Auto Responses'!$A$7,IF($C47='Auto Responses'!$J$3,VLOOKUP($A47,Questions!$A$2:$X$333,17,0)&amp;"",IF($C47='Auto Responses'!$J$4,VLOOKUP($A47,Questions!$A$2:$X$333,16,0)&amp;"",VLOOKUP($A47,Questions!$A$2:$X$333,15,0)&amp;"")))</f>
        <v>Based on the response to REQU-05 on the "START HERE" tab, this question does not apply to this product or service.</v>
      </c>
      <c r="F47" s="201" t="str">
        <f>VLOOKUP($A47,'Institution Evaluation'!$A$56:$F$345,6,0)&amp;""</f>
        <v/>
      </c>
      <c r="I47" s="35"/>
      <c r="J47" s="35"/>
    </row>
    <row r="48" spans="1:10" s="1" customFormat="1" ht="49.5" customHeight="1" x14ac:dyDescent="0.25">
      <c r="A48" s="19" t="s">
        <v>621</v>
      </c>
      <c r="B48" s="18" t="str">
        <f>VLOOKUP($A48,Questions!$A$2:$X$333,2,0)</f>
        <v>Does your application provide the ability to define user access levels?</v>
      </c>
      <c r="C48" s="21"/>
      <c r="D48" s="320"/>
      <c r="E48" s="167" t="str">
        <f>IF($C$19='Auto Responses'!$J$4,'Auto Responses'!$A$7,IF($C48='Auto Responses'!$J$3,VLOOKUP($A48,Questions!$A$2:$X$333,17,0)&amp;"",IF($C48='Auto Responses'!$J$4,VLOOKUP($A48,Questions!$A$2:$X$333,16,0)&amp;"",VLOOKUP($A48,Questions!$A$2:$X$333,15,0)&amp;"")))</f>
        <v>Based on the response to REQU-05 on the "START HERE" tab, this question does not apply to this product or service.</v>
      </c>
      <c r="F48" s="201" t="str">
        <f>VLOOKUP($A48,'Institution Evaluation'!$A$56:$F$345,6,0)&amp;""</f>
        <v/>
      </c>
      <c r="I48" s="35"/>
      <c r="J48" s="35"/>
    </row>
    <row r="49" spans="1:10" s="1" customFormat="1" ht="49.5" customHeight="1" x14ac:dyDescent="0.25">
      <c r="A49" s="19" t="s">
        <v>623</v>
      </c>
      <c r="B49" s="18" t="str">
        <f>VLOOKUP($A49,Questions!$A$2:$X$333,2,0)</f>
        <v>Does your application support varying levels of access to administrative tasks defined individually per user?</v>
      </c>
      <c r="C49" s="21"/>
      <c r="D49" s="320"/>
      <c r="E49" s="167" t="str">
        <f>IF($C$19='Auto Responses'!$J$4,'Auto Responses'!$A$7,IF($C49='Auto Responses'!$J$3,VLOOKUP($A49,Questions!$A$2:$X$333,17,0)&amp;"",IF($C49='Auto Responses'!$J$4,VLOOKUP($A49,Questions!$A$2:$X$333,16,0)&amp;"",VLOOKUP($A49,Questions!$A$2:$X$333,15,0)&amp;"")))</f>
        <v>Based on the response to REQU-05 on the "START HERE" tab, this question does not apply to this product or service.</v>
      </c>
      <c r="F49" s="201" t="str">
        <f>VLOOKUP($A49,'Institution Evaluation'!$A$56:$F$345,6,0)&amp;""</f>
        <v/>
      </c>
      <c r="I49" s="35"/>
      <c r="J49" s="35"/>
    </row>
    <row r="50" spans="1:10" s="1" customFormat="1" ht="49.5" customHeight="1" x14ac:dyDescent="0.25">
      <c r="A50" s="19" t="s">
        <v>625</v>
      </c>
      <c r="B50" s="18" t="str">
        <f>VLOOKUP($A50,Questions!$A$2:$X$333,2,0)</f>
        <v>Does your application support varying levels of access to records based on user ID?</v>
      </c>
      <c r="C50" s="21"/>
      <c r="D50" s="320"/>
      <c r="E50" s="167" t="str">
        <f>IF($C$19='Auto Responses'!$J$4,'Auto Responses'!$A$7,IF($C50='Auto Responses'!$J$3,VLOOKUP($A50,Questions!$A$2:$X$333,17,0)&amp;"",IF($C50='Auto Responses'!$J$4,VLOOKUP($A50,Questions!$A$2:$X$333,16,0)&amp;"",VLOOKUP($A50,Questions!$A$2:$X$333,15,0)&amp;"")))</f>
        <v>Based on the response to REQU-05 on the "START HERE" tab, this question does not apply to this product or service.</v>
      </c>
      <c r="F50" s="201" t="str">
        <f>VLOOKUP($A50,'Institution Evaluation'!$A$56:$F$345,6,0)&amp;""</f>
        <v/>
      </c>
      <c r="I50" s="35"/>
      <c r="J50" s="35"/>
    </row>
    <row r="51" spans="1:10" s="1" customFormat="1" ht="49.5" customHeight="1" x14ac:dyDescent="0.25">
      <c r="A51" s="19" t="s">
        <v>626</v>
      </c>
      <c r="B51" s="18" t="str">
        <f>VLOOKUP($A51,Questions!$A$2:$X$333,2,0)</f>
        <v>Is there a limit to the number of groups to which a user can be assigned?</v>
      </c>
      <c r="C51" s="21"/>
      <c r="D51" s="320"/>
      <c r="E51" s="167" t="str">
        <f>IF($C$19='Auto Responses'!$J$4,'Auto Responses'!$A$7,IF($C51='Auto Responses'!$J$3,VLOOKUP($A51,Questions!$A$2:$X$333,17,0)&amp;"",IF($C51='Auto Responses'!$J$4,VLOOKUP($A51,Questions!$A$2:$X$333,16,0)&amp;"",VLOOKUP($A51,Questions!$A$2:$X$333,15,0)&amp;"")))</f>
        <v>Based on the response to REQU-05 on the "START HERE" tab, this question does not apply to this product or service.</v>
      </c>
      <c r="F51" s="201" t="str">
        <f>VLOOKUP($A51,'Institution Evaluation'!$A$56:$F$345,6,0)&amp;""</f>
        <v/>
      </c>
      <c r="I51" s="35"/>
      <c r="J51" s="35"/>
    </row>
    <row r="52" spans="1:10" s="1" customFormat="1" ht="49.5" customHeight="1" x14ac:dyDescent="0.25">
      <c r="A52" s="19" t="s">
        <v>628</v>
      </c>
      <c r="B52" s="18" t="str">
        <f>VLOOKUP($A52,Questions!$A$2:$X$333,2,0)</f>
        <v>Do accounts used for solution provider-supplied remote support abide by the same authentication policies and access logging as the rest of the system?</v>
      </c>
      <c r="C52" s="21"/>
      <c r="D52" s="320"/>
      <c r="E52" s="167" t="str">
        <f>IF($C$19='Auto Responses'!$J$4,'Auto Responses'!$A$7,IF($C52='Auto Responses'!$J$3,VLOOKUP($A52,Questions!$A$2:$X$333,17,0)&amp;"",IF($C52='Auto Responses'!$J$4,VLOOKUP($A52,Questions!$A$2:$X$333,16,0)&amp;"",VLOOKUP($A52,Questions!$A$2:$X$333,15,0)&amp;"")))</f>
        <v>Based on the response to REQU-05 on the "START HERE" tab, this question does not apply to this product or service.</v>
      </c>
      <c r="F52" s="201" t="str">
        <f>VLOOKUP($A52,'Institution Evaluation'!$A$56:$F$345,6,0)&amp;""</f>
        <v/>
      </c>
      <c r="I52" s="35"/>
      <c r="J52" s="35"/>
    </row>
    <row r="53" spans="1:10" s="1" customFormat="1" ht="49.5" customHeight="1" x14ac:dyDescent="0.25">
      <c r="A53" s="19" t="s">
        <v>629</v>
      </c>
      <c r="B53" s="18" t="str">
        <f>VLOOKUP($A53,Questions!$A$2:$X$333,2,0)</f>
        <v>Does the application log record access including specific user, date/time of access, and originating IP or device?</v>
      </c>
      <c r="C53" s="21"/>
      <c r="D53" s="320"/>
      <c r="E53" s="167" t="str">
        <f>IF($C$19='Auto Responses'!$J$4,'Auto Responses'!$A$7,IF($C53='Auto Responses'!$J$3,VLOOKUP($A53,Questions!$A$2:$X$333,17,0)&amp;"",IF($C53='Auto Responses'!$J$4,VLOOKUP($A53,Questions!$A$2:$X$333,16,0)&amp;"",VLOOKUP($A53,Questions!$A$2:$X$333,15,0)&amp;"")))</f>
        <v>Based on the response to REQU-05 on the "START HERE" tab, this question does not apply to this product or service.</v>
      </c>
      <c r="F53" s="201" t="str">
        <f>VLOOKUP($A53,'Institution Evaluation'!$A$56:$F$345,6,0)&amp;""</f>
        <v/>
      </c>
      <c r="I53" s="35"/>
      <c r="J53" s="35"/>
    </row>
    <row r="54" spans="1:10" s="1" customFormat="1" ht="49.5" customHeight="1" x14ac:dyDescent="0.25">
      <c r="A54" s="19" t="s">
        <v>630</v>
      </c>
      <c r="B54" s="18" t="str">
        <f>VLOOKUP($A54,Questions!$A$2:$X$333,2,0)</f>
        <v>Does the application log administrative activity, such as user account access changes and password changes, including specific user, date/time of changes, and originating IP or device?</v>
      </c>
      <c r="C54" s="21"/>
      <c r="D54" s="320"/>
      <c r="E54" s="167" t="str">
        <f>IF($C$19='Auto Responses'!$J$4,'Auto Responses'!$A$7,IF($C54='Auto Responses'!$J$3,VLOOKUP($A54,Questions!$A$2:$X$333,17,0)&amp;"",IF($C54='Auto Responses'!$J$4,VLOOKUP($A54,Questions!$A$2:$X$333,16,0)&amp;"",VLOOKUP($A54,Questions!$A$2:$X$333,15,0)&amp;"")))</f>
        <v>Based on the response to REQU-05 on the "START HERE" tab, this question does not apply to this product or service.</v>
      </c>
      <c r="F54" s="201" t="str">
        <f>VLOOKUP($A54,'Institution Evaluation'!$A$56:$F$345,6,0)&amp;""</f>
        <v/>
      </c>
      <c r="I54" s="35"/>
      <c r="J54" s="35"/>
    </row>
    <row r="55" spans="1:10" s="1" customFormat="1" ht="49.5" customHeight="1" x14ac:dyDescent="0.25">
      <c r="A55" s="19" t="s">
        <v>632</v>
      </c>
      <c r="B55" s="18" t="str">
        <f>VLOOKUP($A55,Questions!$A$2:$X$333,2,0)</f>
        <v>Do you retain logs for at least as long as required by HIPAA regulations?</v>
      </c>
      <c r="C55" s="76"/>
      <c r="D55" s="320"/>
      <c r="E55" s="167" t="str">
        <f>IF($C$19='Auto Responses'!$J$4,'Auto Responses'!$A$7,IF($C55='Auto Responses'!$J$3,VLOOKUP($A55,Questions!$A$2:$X$333,17,0)&amp;"",IF($C55='Auto Responses'!$J$4,VLOOKUP($A55,Questions!$A$2:$X$333,16,0)&amp;"",VLOOKUP($A55,Questions!$A$2:$X$333,15,0)&amp;"")))</f>
        <v>Based on the response to REQU-05 on the "START HERE" tab, this question does not apply to this product or service.</v>
      </c>
      <c r="F55" s="201" t="str">
        <f>VLOOKUP($A55,'Institution Evaluation'!$A$56:$F$345,6,0)&amp;""</f>
        <v/>
      </c>
      <c r="I55" s="35"/>
      <c r="J55" s="35"/>
    </row>
    <row r="56" spans="1:10" s="1" customFormat="1" ht="49.5" customHeight="1" x14ac:dyDescent="0.25">
      <c r="A56" s="19" t="s">
        <v>634</v>
      </c>
      <c r="B56" s="18" t="str">
        <f>VLOOKUP($A56,Questions!$A$2:$X$333,2,0)</f>
        <v>Can the application logs be archived?</v>
      </c>
      <c r="C56" s="21"/>
      <c r="D56" s="320"/>
      <c r="E56" s="167" t="str">
        <f>IF($C$19='Auto Responses'!$J$4,'Auto Responses'!$A$7,IF($C56='Auto Responses'!$J$3,VLOOKUP($A56,Questions!$A$2:$X$333,17,0)&amp;"",IF($C56='Auto Responses'!$J$4,VLOOKUP($A56,Questions!$A$2:$X$333,16,0)&amp;"",VLOOKUP($A56,Questions!$A$2:$X$333,15,0)&amp;"")))</f>
        <v>Based on the response to REQU-05 on the "START HERE" tab, this question does not apply to this product or service.</v>
      </c>
      <c r="F56" s="201" t="str">
        <f>VLOOKUP($A56,'Institution Evaluation'!$A$56:$F$345,6,0)&amp;""</f>
        <v/>
      </c>
      <c r="I56" s="35"/>
      <c r="J56" s="35"/>
    </row>
    <row r="57" spans="1:10" s="1" customFormat="1" ht="49.5" customHeight="1" x14ac:dyDescent="0.25">
      <c r="A57" s="19" t="s">
        <v>636</v>
      </c>
      <c r="B57" s="18" t="str">
        <f>VLOOKUP($A57,Questions!$A$2:$X$333,2,0)</f>
        <v>Can the application logs be saved externally?</v>
      </c>
      <c r="C57" s="21"/>
      <c r="D57" s="320"/>
      <c r="E57" s="167" t="str">
        <f>IF($C$19='Auto Responses'!$J$4,'Auto Responses'!$A$7,IF($C57='Auto Responses'!$J$3,VLOOKUP($A57,Questions!$A$2:$X$333,17,0)&amp;"",IF($C57='Auto Responses'!$J$4,VLOOKUP($A57,Questions!$A$2:$X$333,16,0)&amp;"",VLOOKUP($A57,Questions!$A$2:$X$333,15,0)&amp;"")))</f>
        <v>Based on the response to REQU-05 on the "START HERE" tab, this question does not apply to this product or service.</v>
      </c>
      <c r="F57" s="201" t="str">
        <f>VLOOKUP($A57,'Institution Evaluation'!$A$56:$F$345,6,0)&amp;""</f>
        <v/>
      </c>
      <c r="I57" s="35"/>
      <c r="J57" s="35"/>
    </row>
    <row r="58" spans="1:10" s="1" customFormat="1" ht="49.5" customHeight="1" x14ac:dyDescent="0.25">
      <c r="A58" s="19" t="s">
        <v>638</v>
      </c>
      <c r="B58" s="18" t="str">
        <f>VLOOKUP($A58,Questions!$A$2:$X$333,2,0)</f>
        <v>Do you have a disaster recovery plan and emergency mode operation plan?</v>
      </c>
      <c r="C58" s="21"/>
      <c r="D58" s="320"/>
      <c r="E58" s="167" t="str">
        <f>IF($C$19='Auto Responses'!$J$4,'Auto Responses'!$A$7,IF($C58='Auto Responses'!$J$3,VLOOKUP($A58,Questions!$A$2:$X$333,17,0)&amp;"",IF($C58='Auto Responses'!$J$4,VLOOKUP($A58,Questions!$A$2:$X$333,16,0)&amp;"",VLOOKUP($A58,Questions!$A$2:$X$333,15,0)&amp;"")))</f>
        <v>Based on the response to REQU-05 on the "START HERE" tab, this question does not apply to this product or service.</v>
      </c>
      <c r="F58" s="201" t="str">
        <f>VLOOKUP($A58,'Institution Evaluation'!$A$56:$F$345,6,0)&amp;""</f>
        <v/>
      </c>
      <c r="I58" s="35"/>
      <c r="J58" s="35"/>
    </row>
    <row r="59" spans="1:10" s="1" customFormat="1" ht="49.5" customHeight="1" x14ac:dyDescent="0.25">
      <c r="A59" s="19" t="s">
        <v>639</v>
      </c>
      <c r="B59" s="18" t="str">
        <f>VLOOKUP($A59,Questions!$A$2:$X$333,2,0)</f>
        <v>Can you provide a HIPAA compliance attestation document?</v>
      </c>
      <c r="C59" s="21"/>
      <c r="D59" s="320"/>
      <c r="E59" s="167" t="str">
        <f>IF($C$19='Auto Responses'!$J$4,'Auto Responses'!$A$7,IF($C59='Auto Responses'!$J$3,VLOOKUP($A59,Questions!$A$2:$X$333,17,0)&amp;"",IF($C59='Auto Responses'!$J$4,VLOOKUP($A59,Questions!$A$2:$X$333,16,0)&amp;"",VLOOKUP($A59,Questions!$A$2:$X$333,15,0)&amp;"")))</f>
        <v>Based on the response to REQU-05 on the "START HERE" tab, this question does not apply to this product or service.</v>
      </c>
      <c r="F59" s="201" t="str">
        <f>VLOOKUP($A59,'Institution Evaluation'!$A$56:$F$345,6,0)&amp;""</f>
        <v/>
      </c>
      <c r="I59" s="35"/>
      <c r="J59" s="35"/>
    </row>
    <row r="60" spans="1:10" s="1" customFormat="1" ht="49.5" customHeight="1" x14ac:dyDescent="0.25">
      <c r="A60" s="19" t="s">
        <v>641</v>
      </c>
      <c r="B60" s="18" t="str">
        <f>VLOOKUP($A60,Questions!$A$2:$X$333,2,0)</f>
        <v>Are you willing to enter into a Business Associate Agreement (BAA)?</v>
      </c>
      <c r="C60" s="21"/>
      <c r="D60" s="320"/>
      <c r="E60" s="167" t="str">
        <f>IF($C$19='Auto Responses'!$J$4,'Auto Responses'!$A$7,IF($C60='Auto Responses'!$J$3,VLOOKUP($A60,Questions!$A$2:$X$333,17,0)&amp;"",IF($C60='Auto Responses'!$J$4,VLOOKUP($A60,Questions!$A$2:$X$333,16,0)&amp;"",VLOOKUP($A60,Questions!$A$2:$X$333,15,0)&amp;"")))</f>
        <v>Based on the response to REQU-05 on the "START HERE" tab, this question does not apply to this product or service.</v>
      </c>
      <c r="F60" s="201" t="str">
        <f>VLOOKUP($A60,'Institution Evaluation'!$A$56:$F$345,6,0)&amp;""</f>
        <v/>
      </c>
      <c r="I60" s="35"/>
      <c r="J60" s="35"/>
    </row>
    <row r="61" spans="1:10" s="1" customFormat="1" ht="49.5" customHeight="1" thickBot="1" x14ac:dyDescent="0.3">
      <c r="A61" s="19" t="s">
        <v>643</v>
      </c>
      <c r="B61" s="18" t="str">
        <f>VLOOKUP($A61,Questions!$A$2:$X$333,2,0)</f>
        <v>Do your data backup and retention policies and practices meet HIPAA requirements?</v>
      </c>
      <c r="C61" s="21"/>
      <c r="D61" s="320"/>
      <c r="E61" s="167" t="str">
        <f>IF($C$19='Auto Responses'!$J$4,'Auto Responses'!$A$7,IF($C61='Auto Responses'!$J$3,VLOOKUP($A61,Questions!$A$2:$X$333,17,0)&amp;"",IF($C61='Auto Responses'!$J$4,VLOOKUP($A61,Questions!$A$2:$X$333,16,0)&amp;"",VLOOKUP($A61,Questions!$A$2:$X$333,15,0)&amp;"")))</f>
        <v>Based on the response to REQU-05 on the "START HERE" tab, this question does not apply to this product or service.</v>
      </c>
      <c r="F61" s="201" t="str">
        <f>VLOOKUP($A61,'Institution Evaluation'!$A$56:$F$345,6,0)&amp;""</f>
        <v/>
      </c>
      <c r="G61" s="238" t="s">
        <v>1449</v>
      </c>
      <c r="I61" s="35"/>
      <c r="J61" s="35"/>
    </row>
    <row r="62" spans="1:10" s="1" customFormat="1" ht="37.35" customHeight="1" thickBot="1" x14ac:dyDescent="0.3">
      <c r="A62" s="63" t="str">
        <f>VLOOKUP(LEFT($A63,4),'Auto Responses'!$N$4:$O$38,2,0)&amp;""</f>
        <v xml:space="preserve"> Payment Card Industry Data Security Standard (PCI DSS)</v>
      </c>
      <c r="B62" s="22"/>
      <c r="C62" s="13" t="s">
        <v>1497</v>
      </c>
      <c r="D62" s="13" t="s">
        <v>72</v>
      </c>
      <c r="E62" s="31" t="s">
        <v>848</v>
      </c>
      <c r="F62" s="187" t="s">
        <v>849</v>
      </c>
      <c r="I62" s="35"/>
      <c r="J62" s="35"/>
    </row>
    <row r="63" spans="1:10" s="1" customFormat="1" ht="38.25" customHeight="1" x14ac:dyDescent="0.25">
      <c r="A63" s="19" t="s">
        <v>644</v>
      </c>
      <c r="B63" s="18" t="str">
        <f>VLOOKUP($A63,Questions!$A$2:$X$333,2,0)</f>
        <v>Do you have a current, executed within the past year, Attestation of Compliance (AoC) or Report on Compliance (RoC)?*</v>
      </c>
      <c r="C63" s="21"/>
      <c r="D63" s="320"/>
      <c r="E63" s="167" t="str">
        <f>IF($C$20='Auto Responses'!$J$4,'Auto Responses'!$A$8,IF($C63='Auto Responses'!$J$3,VLOOKUP($A63,Questions!$A$2:$X$333,17,0)&amp;"",IF($C63='Auto Responses'!$J$4,VLOOKUP($A63,Questions!$A$2:$X$333,16,0)&amp;"",VLOOKUP($A63,Questions!$A$2:$X$333,15,0)&amp;"")))</f>
        <v>Based on the response to REQU-06 on the "START HERE" tab, this question does not apply to this product or service.</v>
      </c>
      <c r="F63" s="201" t="str">
        <f>VLOOKUP($A63,'Institution Evaluation'!$A$56:$F$345,6,0)&amp;""</f>
        <v/>
      </c>
      <c r="I63" s="35"/>
      <c r="J63" s="35"/>
    </row>
    <row r="64" spans="1:10" s="1" customFormat="1" ht="38.25" customHeight="1" x14ac:dyDescent="0.25">
      <c r="A64" s="19" t="s">
        <v>648</v>
      </c>
      <c r="B64" s="18" t="str">
        <f>VLOOKUP($A64,Questions!$A$2:$X$333,2,0)</f>
        <v>Is the application listed as an approved Payment Application Data Security Standard (PA-DSS) application?*</v>
      </c>
      <c r="C64" s="21"/>
      <c r="D64" s="320"/>
      <c r="E64" s="167" t="str">
        <f>IF($C$20='Auto Responses'!$J$4,'Auto Responses'!$A$8,IF($C64='Auto Responses'!$J$3,VLOOKUP($A64,Questions!$A$2:$X$333,17,0)&amp;"",IF($C64='Auto Responses'!$J$4,VLOOKUP($A64,Questions!$A$2:$X$333,16,0)&amp;"",VLOOKUP($A64,Questions!$A$2:$X$333,15,0)&amp;"")))</f>
        <v>Based on the response to REQU-06 on the "START HERE" tab, this question does not apply to this product or service.</v>
      </c>
      <c r="F64" s="201" t="str">
        <f>VLOOKUP($A64,'Institution Evaluation'!$A$56:$F$345,6,0)&amp;""</f>
        <v/>
      </c>
      <c r="I64" s="35"/>
      <c r="J64" s="35"/>
    </row>
    <row r="65" spans="1:10" s="1" customFormat="1" ht="38.25" customHeight="1" x14ac:dyDescent="0.25">
      <c r="A65" s="19" t="s">
        <v>650</v>
      </c>
      <c r="B65" s="18" t="str">
        <f>VLOOKUP($A65,Questions!$A$2:$X$333,2,0)</f>
        <v>Does the system or solutions use a third party to collect, store, process, or transmit cardholder (payment/credit/debt card) data?*</v>
      </c>
      <c r="C65" s="21"/>
      <c r="D65" s="320"/>
      <c r="E65" s="167" t="str">
        <f>IF($C$20='Auto Responses'!$J$4,'Auto Responses'!$A$8,IF($C65='Auto Responses'!$J$3,VLOOKUP($A65,Questions!$A$2:$X$333,17,0)&amp;"",IF($C65='Auto Responses'!$J$4,VLOOKUP($A65,Questions!$A$2:$X$333,16,0)&amp;"",VLOOKUP($A65,Questions!$A$2:$X$333,15,0)&amp;"")))</f>
        <v>Based on the response to REQU-06 on the "START HERE" tab, this question does not apply to this product or service.</v>
      </c>
      <c r="F65" s="201" t="str">
        <f>VLOOKUP($A65,'Institution Evaluation'!$A$56:$F$345,6,0)&amp;""</f>
        <v/>
      </c>
      <c r="I65" s="35"/>
      <c r="J65" s="35"/>
    </row>
    <row r="66" spans="1:10" s="1" customFormat="1" ht="38.25" customHeight="1" x14ac:dyDescent="0.25">
      <c r="A66" s="19" t="s">
        <v>651</v>
      </c>
      <c r="B66" s="18" t="str">
        <f>VLOOKUP($A66,Questions!$A$2:$X$333,2,0)</f>
        <v>Do your systems or solutions store, process, or transmit cardholder (payment/credit/debt card) data?</v>
      </c>
      <c r="C66" s="21"/>
      <c r="D66" s="320"/>
      <c r="E66" s="167" t="str">
        <f>IF($C$20='Auto Responses'!$J$4,'Auto Responses'!$A$8,IF($C66='Auto Responses'!$J$3,VLOOKUP($A66,Questions!$A$2:$X$333,17,0)&amp;"",IF($C66='Auto Responses'!$J$4,VLOOKUP($A66,Questions!$A$2:$X$333,16,0)&amp;"",VLOOKUP($A66,Questions!$A$2:$X$333,15,0)&amp;"")))</f>
        <v>Based on the response to REQU-06 on the "START HERE" tab, this question does not apply to this product or service.</v>
      </c>
      <c r="F66" s="201" t="str">
        <f>VLOOKUP($A66,'Institution Evaluation'!$A$56:$F$345,6,0)&amp;""</f>
        <v/>
      </c>
      <c r="I66" s="35"/>
      <c r="J66" s="35"/>
    </row>
    <row r="67" spans="1:10" s="1" customFormat="1" ht="38.25" customHeight="1" x14ac:dyDescent="0.25">
      <c r="A67" s="19" t="s">
        <v>653</v>
      </c>
      <c r="B67" s="18" t="str">
        <f>VLOOKUP($A67,Questions!$A$2:$X$333,2,0)</f>
        <v>Are you compliant with the Payment Card Industry Data Security Standard (PCI DSS)?</v>
      </c>
      <c r="C67" s="21"/>
      <c r="D67" s="320"/>
      <c r="E67" s="167" t="str">
        <f>IF($C$20='Auto Responses'!$J$4,'Auto Responses'!$A$8,IF($C67='Auto Responses'!$J$3,VLOOKUP($A67,Questions!$A$2:$X$333,17,0)&amp;"",IF($C67='Auto Responses'!$J$4,VLOOKUP($A67,Questions!$A$2:$X$333,16,0)&amp;"",VLOOKUP($A67,Questions!$A$2:$X$333,15,0)&amp;"")))</f>
        <v>Based on the response to REQU-06 on the "START HERE" tab, this question does not apply to this product or service.</v>
      </c>
      <c r="F67" s="201" t="str">
        <f>VLOOKUP($A67,'Institution Evaluation'!$A$56:$F$345,6,0)&amp;""</f>
        <v/>
      </c>
      <c r="I67" s="35"/>
      <c r="J67" s="35"/>
    </row>
    <row r="68" spans="1:10" s="1" customFormat="1" ht="38.25" customHeight="1" x14ac:dyDescent="0.25">
      <c r="A68" s="19" t="s">
        <v>654</v>
      </c>
      <c r="B68" s="18" t="str">
        <f>VLOOKUP($A68,Questions!$A$2:$X$333,2,0)</f>
        <v>Are you classified as a service provider?</v>
      </c>
      <c r="C68" s="21"/>
      <c r="D68" s="320"/>
      <c r="E68" s="167" t="str">
        <f>IF($C$20='Auto Responses'!$J$4,'Auto Responses'!$A$8,IF($C68='Auto Responses'!$J$3,VLOOKUP($A68,Questions!$A$2:$X$333,17,0)&amp;"",IF($C68='Auto Responses'!$J$4,VLOOKUP($A68,Questions!$A$2:$X$333,16,0)&amp;"",VLOOKUP($A68,Questions!$A$2:$X$333,15,0)&amp;"")))</f>
        <v>Based on the response to REQU-06 on the "START HERE" tab, this question does not apply to this product or service.</v>
      </c>
      <c r="F68" s="201" t="str">
        <f>VLOOKUP($A68,'Institution Evaluation'!$A$56:$F$345,6,0)&amp;""</f>
        <v/>
      </c>
      <c r="I68" s="35"/>
      <c r="J68" s="35"/>
    </row>
    <row r="69" spans="1:10" s="1" customFormat="1" ht="38.25" customHeight="1" x14ac:dyDescent="0.25">
      <c r="A69" s="19" t="s">
        <v>656</v>
      </c>
      <c r="B69" s="18" t="str">
        <f>VLOOKUP($A69,Questions!$A$2:$X$333,2,0)</f>
        <v>Are you on the list of Visa approved service providers?</v>
      </c>
      <c r="C69" s="21"/>
      <c r="D69" s="320"/>
      <c r="E69" s="167" t="str">
        <f>IF($C$20='Auto Responses'!$J$4,'Auto Responses'!$A$8,IF($C69='Auto Responses'!$J$3,VLOOKUP($A69,Questions!$A$2:$X$333,17,0)&amp;"",IF($C69='Auto Responses'!$J$4,VLOOKUP($A69,Questions!$A$2:$X$333,16,0)&amp;"",VLOOKUP($A69,Questions!$A$2:$X$333,15,0)&amp;"")))</f>
        <v>Based on the response to REQU-06 on the "START HERE" tab, this question does not apply to this product or service.</v>
      </c>
      <c r="F69" s="201" t="str">
        <f>VLOOKUP($A69,'Institution Evaluation'!$A$56:$F$345,6,0)&amp;""</f>
        <v/>
      </c>
      <c r="I69" s="35"/>
      <c r="J69" s="35"/>
    </row>
    <row r="70" spans="1:10" s="1" customFormat="1" ht="48" customHeight="1" x14ac:dyDescent="0.25">
      <c r="A70" s="19" t="s">
        <v>658</v>
      </c>
      <c r="B70" s="18" t="str">
        <f>VLOOKUP($A70,Questions!$A$2:$X$333,2,0)</f>
        <v>Are you classified as a merchant? If so, what level (1, 2, 3, 4)?</v>
      </c>
      <c r="C70" s="21"/>
      <c r="D70" s="320"/>
      <c r="E70" s="167" t="str">
        <f>IF($C$20='Auto Responses'!$J$4,'Auto Responses'!$A$8,IF($C70='Auto Responses'!$J$3,VLOOKUP($A70,Questions!$A$2:$X$333,17,0)&amp;"",IF($C70='Auto Responses'!$J$4,VLOOKUP($A70,Questions!$A$2:$X$333,16,0)&amp;"",VLOOKUP($A70,Questions!$A$2:$X$333,15,0)&amp;"")))</f>
        <v>Based on the response to REQU-06 on the "START HERE" tab, this question does not apply to this product or service.</v>
      </c>
      <c r="F70" s="201" t="str">
        <f>VLOOKUP($A70,'Institution Evaluation'!$A$56:$F$345,6,0)&amp;""</f>
        <v/>
      </c>
      <c r="I70" s="35"/>
      <c r="J70" s="35"/>
    </row>
    <row r="71" spans="1:10" s="1" customFormat="1" ht="38.25" customHeight="1" x14ac:dyDescent="0.25">
      <c r="A71" s="19" t="s">
        <v>660</v>
      </c>
      <c r="B71" s="18" t="str">
        <f>VLOOKUP($A71,Questions!$A$2:$X$333,2,0)</f>
        <v>Describe the architecture employed by the system to verify and authorize credit card transactions.</v>
      </c>
      <c r="C71" s="76"/>
      <c r="D71" s="320"/>
      <c r="E71" s="167" t="str">
        <f>IF($C$20='Auto Responses'!$J$4,'Auto Responses'!$A$8,IF($C71='Auto Responses'!$J$3,VLOOKUP($A71,Questions!$A$2:$X$333,17,0)&amp;"",IF($C71='Auto Responses'!$J$4,VLOOKUP($A71,Questions!$A$2:$X$333,16,0)&amp;"",VLOOKUP($A71,Questions!$A$2:$X$333,15,0)&amp;"")))</f>
        <v>Based on the response to REQU-06 on the "START HERE" tab, this question does not apply to this product or service.</v>
      </c>
      <c r="F71" s="201" t="str">
        <f>VLOOKUP($A71,'Institution Evaluation'!$A$56:$F$345,6,0)&amp;""</f>
        <v/>
      </c>
      <c r="I71" s="35"/>
      <c r="J71" s="35"/>
    </row>
    <row r="72" spans="1:10" s="1" customFormat="1" ht="38.25" customHeight="1" x14ac:dyDescent="0.25">
      <c r="A72" s="19" t="s">
        <v>661</v>
      </c>
      <c r="B72" s="18" t="str">
        <f>VLOOKUP($A72,Questions!$A$2:$X$333,2,0)</f>
        <v>What payment processors/gateways does the system support?</v>
      </c>
      <c r="C72" s="76"/>
      <c r="D72" s="320"/>
      <c r="E72" s="167" t="str">
        <f>IF($C$20='Auto Responses'!$J$4,'Auto Responses'!$A$8,IF($C72='Auto Responses'!$J$3,VLOOKUP($A72,Questions!$A$2:$X$333,17,0)&amp;"",IF($C72='Auto Responses'!$J$4,VLOOKUP($A72,Questions!$A$2:$X$333,16,0)&amp;"",VLOOKUP($A72,Questions!$A$2:$X$333,15,0)&amp;"")))</f>
        <v>Based on the response to REQU-06 on the "START HERE" tab, this question does not apply to this product or service.</v>
      </c>
      <c r="F72" s="201" t="str">
        <f>VLOOKUP($A72,'Institution Evaluation'!$A$56:$F$345,6,0)&amp;""</f>
        <v/>
      </c>
      <c r="I72" s="35"/>
      <c r="J72" s="35"/>
    </row>
    <row r="73" spans="1:10" s="1" customFormat="1" ht="38.25" customHeight="1" x14ac:dyDescent="0.25">
      <c r="A73" s="19" t="s">
        <v>662</v>
      </c>
      <c r="B73" s="18" t="str">
        <f>VLOOKUP($A73,Questions!$A$2:$X$333,2,0)</f>
        <v>Can the application be installed in a PCI DSS–compliant manner?</v>
      </c>
      <c r="C73" s="21"/>
      <c r="D73" s="320"/>
      <c r="E73" s="167" t="str">
        <f>IF($C$20='Auto Responses'!$J$4,'Auto Responses'!$A$8,IF($C73='Auto Responses'!$J$3,VLOOKUP($A73,Questions!$A$2:$X$333,17,0)&amp;"",IF($C73='Auto Responses'!$J$4,VLOOKUP($A73,Questions!$A$2:$X$333,16,0)&amp;"",VLOOKUP($A73,Questions!$A$2:$X$333,15,0)&amp;"")))</f>
        <v>Based on the response to REQU-06 on the "START HERE" tab, this question does not apply to this product or service.</v>
      </c>
      <c r="F73" s="201" t="str">
        <f>VLOOKUP($A73,'Institution Evaluation'!$A$56:$F$345,6,0)&amp;""</f>
        <v/>
      </c>
      <c r="I73" s="35"/>
      <c r="J73" s="35"/>
    </row>
    <row r="74" spans="1:10" s="1" customFormat="1" ht="71.25" customHeight="1" thickBot="1" x14ac:dyDescent="0.3">
      <c r="A74" s="19" t="s">
        <v>663</v>
      </c>
      <c r="B74" s="18" t="str">
        <f>VLOOKUP($A74,Questions!$A$2:$X$333,2,0)</f>
        <v>Include documentation describing the system's abilities to comply with the PCI DSS and any features or capabilities of the system that must be added or changed in order to operate in compliance with the standards.</v>
      </c>
      <c r="C74" s="76"/>
      <c r="D74" s="320"/>
      <c r="E74" s="167" t="str">
        <f>IF($C$20='Auto Responses'!$J$4,'Auto Responses'!$A$8,IF($C74='Auto Responses'!$J$3,VLOOKUP($A74,Questions!$A$2:$X$333,17,0)&amp;"",IF($C74='Auto Responses'!$J$4,VLOOKUP($A74,Questions!$A$2:$X$333,16,0)&amp;"",VLOOKUP($A74,Questions!$A$2:$X$333,15,0)&amp;"")))</f>
        <v>Based on the response to REQU-06 on the "START HERE" tab, this question does not apply to this product or service.</v>
      </c>
      <c r="F74" s="201" t="str">
        <f>VLOOKUP($A74,'Institution Evaluation'!$A$56:$F$345,6,0)&amp;""</f>
        <v/>
      </c>
      <c r="G74" s="238" t="s">
        <v>1449</v>
      </c>
      <c r="I74" s="35"/>
      <c r="J74" s="35"/>
    </row>
    <row r="75" spans="1:10" s="1" customFormat="1" ht="37.35" customHeight="1" thickBot="1" x14ac:dyDescent="0.3">
      <c r="A75" s="63" t="str">
        <f>VLOOKUP(LEFT($A76,4),'Auto Responses'!$N$4:$O$38,2,0)&amp;""</f>
        <v xml:space="preserve"> On-Premises Data Solutions</v>
      </c>
      <c r="B75" s="22"/>
      <c r="C75" s="13" t="s">
        <v>1497</v>
      </c>
      <c r="D75" s="13" t="s">
        <v>72</v>
      </c>
      <c r="E75" s="31" t="s">
        <v>848</v>
      </c>
      <c r="F75" s="187" t="s">
        <v>849</v>
      </c>
      <c r="I75" s="35"/>
      <c r="J75" s="35"/>
    </row>
    <row r="76" spans="1:10" s="1" customFormat="1" ht="36" customHeight="1" x14ac:dyDescent="0.25">
      <c r="A76" s="19" t="s">
        <v>664</v>
      </c>
      <c r="B76" s="18" t="str">
        <f>VLOOKUP($A76,Questions!$A$2:$X$333,2,0)</f>
        <v>Do you support role-based access control (RBAC) for system administrators?</v>
      </c>
      <c r="C76" s="21"/>
      <c r="D76" s="320"/>
      <c r="E76" s="167" t="str">
        <f>IF($C$21='Auto Responses'!$J$4,'Auto Responses'!$A$9,IF($C76='Auto Responses'!$J$3,VLOOKUP($A76,Questions!$A$2:$X$333,17,0)&amp;"",IF($C76='Auto Responses'!$J$4,VLOOKUP($A76,Questions!$A$2:$X$333,16,0)&amp;"",VLOOKUP($A76,Questions!$A$2:$X$333,15,0)&amp;"")))</f>
        <v>Based on the response to REQU-07 on the "START HERE" tab, this question does not apply to this product or service.</v>
      </c>
      <c r="F76" s="201" t="str">
        <f>VLOOKUP($A76,'Institution Evaluation'!$A$56:$F$345,6,0)&amp;""</f>
        <v/>
      </c>
      <c r="I76" s="35"/>
      <c r="J76" s="35"/>
    </row>
    <row r="77" spans="1:10" s="1" customFormat="1" ht="28.5" customHeight="1" x14ac:dyDescent="0.25">
      <c r="A77" s="19" t="s">
        <v>666</v>
      </c>
      <c r="B77" s="18" t="str">
        <f>VLOOKUP($A77,Questions!$A$2:$X$333,2,0)</f>
        <v>Can your employees access customer systems remotely?</v>
      </c>
      <c r="C77" s="21"/>
      <c r="D77" s="320"/>
      <c r="E77" s="167" t="str">
        <f>IF($C$21='Auto Responses'!$J$4,'Auto Responses'!$A$9,IF($C77='Auto Responses'!$J$3,VLOOKUP($A77,Questions!$A$2:$X$333,17,0)&amp;"",IF($C77='Auto Responses'!$J$4,VLOOKUP($A77,Questions!$A$2:$X$333,16,0)&amp;"",VLOOKUP($A77,Questions!$A$2:$X$333,15,0)&amp;"")))</f>
        <v>Based on the response to REQU-07 on the "START HERE" tab, this question does not apply to this product or service.</v>
      </c>
      <c r="F77" s="201" t="str">
        <f>VLOOKUP($A77,'Institution Evaluation'!$A$56:$F$345,6,0)&amp;""</f>
        <v/>
      </c>
      <c r="I77" s="35"/>
      <c r="J77" s="35"/>
    </row>
    <row r="78" spans="1:10" s="1" customFormat="1" ht="68.25" customHeight="1" x14ac:dyDescent="0.25">
      <c r="A78" s="19" t="s">
        <v>670</v>
      </c>
      <c r="B78" s="18" t="str">
        <f>VLOOKUP($A78,Questions!$A$2:$X$333,2,0)</f>
        <v>Can you provide overall system and/or application architecture diagrams including a full description of the data communications architecture for all components of the system?</v>
      </c>
      <c r="C78" s="21"/>
      <c r="D78" s="320"/>
      <c r="E78" s="167" t="str">
        <f>IF($C$21='Auto Responses'!$J$4,'Auto Responses'!$A$9,IF($C78='Auto Responses'!$J$3,VLOOKUP($A78,Questions!$A$2:$X$333,17,0)&amp;"",IF($C78='Auto Responses'!$J$4,VLOOKUP($A78,Questions!$A$2:$X$333,16,0)&amp;"",VLOOKUP($A78,Questions!$A$2:$X$333,15,0)&amp;"")))</f>
        <v>Based on the response to REQU-07 on the "START HERE" tab, this question does not apply to this product or service.</v>
      </c>
      <c r="F78" s="201" t="str">
        <f>VLOOKUP($A78,'Institution Evaluation'!$A$56:$F$345,6,0)&amp;""</f>
        <v/>
      </c>
      <c r="I78" s="35"/>
      <c r="J78" s="35"/>
    </row>
    <row r="79" spans="1:10" s="1" customFormat="1" ht="46.5" customHeight="1" x14ac:dyDescent="0.25">
      <c r="A79" s="19" t="s">
        <v>674</v>
      </c>
      <c r="B79" s="18" t="str">
        <f>VLOOKUP($A79,Questions!$A$2:$X$333,2,0)</f>
        <v>Do you require remote management of the system?</v>
      </c>
      <c r="C79" s="21"/>
      <c r="D79" s="320"/>
      <c r="E79" s="167" t="str">
        <f>IF($C$21='Auto Responses'!$J$4,'Auto Responses'!$A$9,IF($C79='Auto Responses'!$J$3,VLOOKUP($A79,Questions!$A$2:$X$333,17,0)&amp;"",IF($C79='Auto Responses'!$J$4,VLOOKUP($A79,Questions!$A$2:$X$333,16,0)&amp;"",VLOOKUP($A79,Questions!$A$2:$X$333,15,0)&amp;"")))</f>
        <v>Based on the response to REQU-07 on the "START HERE" tab, this question does not apply to this product or service.</v>
      </c>
      <c r="F79" s="201" t="str">
        <f>VLOOKUP($A79,'Institution Evaluation'!$A$56:$F$345,6,0)&amp;""</f>
        <v/>
      </c>
      <c r="I79" s="35"/>
      <c r="J79" s="35"/>
    </row>
    <row r="80" spans="1:10" s="1" customFormat="1" ht="60" customHeight="1" x14ac:dyDescent="0.25">
      <c r="A80" s="19" t="s">
        <v>677</v>
      </c>
      <c r="B80" s="18" t="str">
        <f>VLOOKUP($A80,Questions!$A$2:$X$333,2,0)</f>
        <v>If you answered "yes" to OPEM-04, are your remote actions and changes logged or otherwise visible to the campus?</v>
      </c>
      <c r="C80" s="21"/>
      <c r="D80" s="320"/>
      <c r="E80" s="167" t="str">
        <f>IF($C$21='Auto Responses'!$J$4,'Auto Responses'!$A$9,IF($C80='Auto Responses'!$J$3,VLOOKUP($A80,Questions!$A$2:$X$333,17,0)&amp;"",IF($C80='Auto Responses'!$J$4,VLOOKUP($A80,Questions!$A$2:$X$333,16,0)&amp;"",IF($C80='Auto Responses'!$J$5,VLOOKUP($A80,Questions!$A$2:$X$333,18,0)&amp;"",VLOOKUP($A80,Questions!$A$2:$X$333,15,0)&amp;""))))</f>
        <v>Based on the response to REQU-07 on the "START HERE" tab, this question does not apply to this product or service.</v>
      </c>
      <c r="F80" s="201" t="str">
        <f>VLOOKUP($A80,'Institution Evaluation'!$A$56:$F$345,6,0)&amp;""</f>
        <v/>
      </c>
      <c r="I80" s="35"/>
      <c r="J80" s="35"/>
    </row>
    <row r="81" spans="1:12" s="1" customFormat="1" ht="47.25" customHeight="1" x14ac:dyDescent="0.25">
      <c r="A81" s="19" t="s">
        <v>681</v>
      </c>
      <c r="B81" s="18" t="str">
        <f>VLOOKUP($A81,Questions!$A$2:$X$333,2,0)</f>
        <v>If you maintain remote access to the system, will you handle data in a FERPA-compliant manner?</v>
      </c>
      <c r="C81" s="21"/>
      <c r="D81" s="320"/>
      <c r="E81" s="167" t="str">
        <f>IF($C$21='Auto Responses'!$J$4,'Auto Responses'!$A$9,IF($C81='Auto Responses'!$J$3,VLOOKUP($A81,Questions!$A$2:$X$333,17,0)&amp;"",IF($C81='Auto Responses'!$J$4,VLOOKUP($A81,Questions!$A$2:$X$333,16,0)&amp;"",IF($C81='Auto Responses'!$J$5,VLOOKUP($A81,Questions!$A$2:$X$333,18,0)&amp;"",VLOOKUP($A81,Questions!$A$2:$X$333,15,0)&amp;""))))</f>
        <v>Based on the response to REQU-07 on the "START HERE" tab, this question does not apply to this product or service.</v>
      </c>
      <c r="F81" s="201" t="str">
        <f>VLOOKUP($A81,'Institution Evaluation'!$A$56:$F$345,6,0)&amp;""</f>
        <v/>
      </c>
      <c r="I81" s="35"/>
      <c r="J81" s="35"/>
    </row>
    <row r="82" spans="1:12" s="1" customFormat="1" ht="43.5" customHeight="1" x14ac:dyDescent="0.25">
      <c r="A82" s="19" t="s">
        <v>683</v>
      </c>
      <c r="B82" s="18" t="str">
        <f>VLOOKUP($A82,Questions!$A$2:$X$333,2,0)</f>
        <v>Do you support campus status monitoring through SNMPv3 or other means?</v>
      </c>
      <c r="C82" s="21"/>
      <c r="D82" s="320"/>
      <c r="E82" s="167" t="str">
        <f>IF($C$21='Auto Responses'!$J$4,'Auto Responses'!$A$9,IF($C82='Auto Responses'!$J$3,VLOOKUP($A82,Questions!$A$2:$X$333,17,0)&amp;"",IF($C82='Auto Responses'!$J$4,VLOOKUP($A82,Questions!$A$2:$X$333,16,0)&amp;"",VLOOKUP($A82,Questions!$A$2:$X$333,15,0)&amp;"")))</f>
        <v>Based on the response to REQU-07 on the "START HERE" tab, this question does not apply to this product or service.</v>
      </c>
      <c r="F82" s="201" t="str">
        <f>VLOOKUP($A82,'Institution Evaluation'!$A$56:$F$345,6,0)&amp;""</f>
        <v/>
      </c>
      <c r="I82" s="35"/>
      <c r="J82" s="35"/>
    </row>
    <row r="83" spans="1:12" s="1" customFormat="1" ht="42" customHeight="1" x14ac:dyDescent="0.25">
      <c r="A83" s="19" t="s">
        <v>686</v>
      </c>
      <c r="B83" s="18" t="str">
        <f>VLOOKUP($A83,Questions!$A$2:$X$333,2,0)</f>
        <v>Describe or provide a reference to any other safeguards used to monitor for malicious activity.</v>
      </c>
      <c r="C83" s="68"/>
      <c r="D83" s="320"/>
      <c r="E83" s="167" t="str">
        <f>IF($C$21='Auto Responses'!$J$4,'Auto Responses'!$A$9,IF($C83='Auto Responses'!$J$3,VLOOKUP($A83,Questions!$A$2:$X$333,17,0)&amp;"",IF($C83='Auto Responses'!$J$4,VLOOKUP($A83,Questions!$A$2:$X$333,16,0)&amp;"",VLOOKUP($A83,Questions!$A$2:$X$333,15,0)&amp;"")))</f>
        <v>Based on the response to REQU-07 on the "START HERE" tab, this question does not apply to this product or service.</v>
      </c>
      <c r="F83" s="201" t="str">
        <f>VLOOKUP($A83,'Institution Evaluation'!$A$56:$F$345,6,0)&amp;""</f>
        <v/>
      </c>
      <c r="I83" s="35"/>
      <c r="J83" s="35"/>
    </row>
    <row r="84" spans="1:12" s="1" customFormat="1" ht="54" customHeight="1" x14ac:dyDescent="0.25">
      <c r="A84" s="19" t="s">
        <v>687</v>
      </c>
      <c r="B84" s="18" t="str">
        <f>VLOOKUP($A84,Questions!$A$2:$X$333,2,0)</f>
        <v>Describe how long your organization has conducted business in this area.</v>
      </c>
      <c r="C84" s="68"/>
      <c r="D84" s="320"/>
      <c r="E84" s="167" t="str">
        <f>IF($C$21='Auto Responses'!$J$4,'Auto Responses'!$A$9,IF($C84='Auto Responses'!$J$3,VLOOKUP($A84,Questions!$A$2:$X$333,17,0)&amp;"",IF($C84='Auto Responses'!$J$4,VLOOKUP($A84,Questions!$A$2:$X$333,16,0)&amp;"",VLOOKUP($A84,Questions!$A$2:$X$333,15,0)&amp;"")))</f>
        <v>Based on the response to REQU-07 on the "START HERE" tab, this question does not apply to this product or service.</v>
      </c>
      <c r="F84" s="201" t="str">
        <f>VLOOKUP($A84,'Institution Evaluation'!$A$56:$F$345,6,0)&amp;""</f>
        <v/>
      </c>
      <c r="I84" s="35"/>
      <c r="J84" s="35"/>
    </row>
    <row r="85" spans="1:12" s="1" customFormat="1" ht="39.75" customHeight="1" x14ac:dyDescent="0.25">
      <c r="A85" s="19" t="s">
        <v>692</v>
      </c>
      <c r="B85" s="18" t="str">
        <f>VLOOKUP($A85,Questions!$A$2:$X$333,2,0)</f>
        <v>Do you have existing higher education customers?</v>
      </c>
      <c r="C85" s="21"/>
      <c r="D85" s="320"/>
      <c r="E85" s="167" t="str">
        <f>IF($C$21='Auto Responses'!$J$4,'Auto Responses'!$A$9,IF($C85='Auto Responses'!$J$3,VLOOKUP($A85,Questions!$A$2:$X$333,17,0)&amp;"",IF($C85='Auto Responses'!$J$4,VLOOKUP($A85,Questions!$A$2:$X$333,16,0)&amp;"",VLOOKUP($A85,Questions!$A$2:$X$333,15,0)&amp;"")))</f>
        <v>Based on the response to REQU-07 on the "START HERE" tab, this question does not apply to this product or service.</v>
      </c>
      <c r="F85" s="201" t="str">
        <f>VLOOKUP($A85,'Institution Evaluation'!$A$56:$F$345,6,0)&amp;""</f>
        <v/>
      </c>
      <c r="G85" s="238" t="s">
        <v>1449</v>
      </c>
      <c r="I85" s="35"/>
      <c r="J85" s="35"/>
    </row>
    <row r="86" spans="1:12" s="1" customFormat="1" ht="36.75" customHeight="1" x14ac:dyDescent="0.25">
      <c r="A86" s="267" t="s">
        <v>1507</v>
      </c>
      <c r="C86" s="8"/>
      <c r="D86" s="9"/>
      <c r="E86" s="10"/>
      <c r="I86" s="35"/>
      <c r="J86" s="35"/>
    </row>
    <row r="87" spans="1:12" ht="15" hidden="1" customHeight="1" x14ac:dyDescent="0.25">
      <c r="A87" s="1"/>
      <c r="B87" s="8"/>
      <c r="C87" s="71"/>
      <c r="D87" s="10"/>
      <c r="E87" s="1"/>
      <c r="H87" s="35"/>
      <c r="I87" s="1"/>
      <c r="J87" s="1"/>
      <c r="L87"/>
    </row>
    <row r="88" spans="1:12" ht="0" hidden="1" customHeight="1" x14ac:dyDescent="0.25">
      <c r="A88" s="19" t="e">
        <f>#REF!</f>
        <v>#REF!</v>
      </c>
    </row>
    <row r="89" spans="1:12" ht="0" hidden="1" customHeight="1" x14ac:dyDescent="0.25">
      <c r="A89" s="19" t="e">
        <f>#REF!</f>
        <v>#REF!</v>
      </c>
    </row>
    <row r="90" spans="1:12" ht="0" hidden="1" customHeight="1" x14ac:dyDescent="0.25">
      <c r="A90" s="19" t="e">
        <f>#REF!</f>
        <v>#REF!</v>
      </c>
    </row>
    <row r="91" spans="1:12" ht="0" hidden="1" customHeight="1" x14ac:dyDescent="0.25">
      <c r="A91" s="19" t="e">
        <f>#REF!</f>
        <v>#REF!</v>
      </c>
    </row>
    <row r="92" spans="1:12" ht="0" hidden="1" customHeight="1" x14ac:dyDescent="0.25">
      <c r="A92" s="19" t="e">
        <f>#REF!</f>
        <v>#REF!</v>
      </c>
    </row>
    <row r="93" spans="1:12" ht="0" hidden="1" customHeight="1" x14ac:dyDescent="0.25">
      <c r="A93" s="19" t="e">
        <f>#REF!</f>
        <v>#REF!</v>
      </c>
    </row>
    <row r="94" spans="1:12" ht="0" hidden="1" customHeight="1" x14ac:dyDescent="0.25">
      <c r="A94" s="19" t="e">
        <f>#REF!</f>
        <v>#REF!</v>
      </c>
    </row>
  </sheetData>
  <dataValidations count="3">
    <dataValidation allowBlank="1" showInputMessage="1" showErrorMessage="1" promptTitle="Warning!" prompt="The HECVAT is built using a number of complex formulas. Editing this cell can break the functionality of the tool. " sqref="A86:B86 A3:A85 C22:D22 C17:D17 C4:F12 C2 D2:F3 C32:D32 C62:D62 C75:D75 B2:B85 E17:F85" xr:uid="{A2581C39-9085-48B1-A01A-98689938B231}"/>
    <dataValidation allowBlank="1" showInputMessage="1" showErrorMessage="1" prompt="This cell should be left blank. Input your answer in column C." sqref="D83:D84 D55 D74 D71:D72" xr:uid="{99745918-BD4C-404F-8EB6-FD6830D1AC83}"/>
    <dataValidation allowBlank="1" showInputMessage="1" showErrorMessage="1" prompt="This answer has been populated from the &quot;START HERE&quot; tab and does not need to be re-entered." sqref="C3 C13:C16 C18:C21" xr:uid="{9EE03F77-63F1-45F4-A6B3-47A7EC079DDB}"/>
  </dataValidations>
  <hyperlinks>
    <hyperlink ref="A11" r:id="rId1" display="http://www.educause.edu/HECVAT" xr:uid="{F36A12FA-6B13-4624-87B5-D2BDA6B134CD}"/>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8E39B49-FDFC-4B06-A569-4463DA1A706A}">
          <x14:formula1>
            <xm:f>'Auto Responses'!$J$3:$J$4</xm:f>
          </x14:formula1>
          <xm:sqref>C73 C85 C27:C31 C33:C54 C56:C61 C76:C79 C23:C24 C63:C70 C82</xm:sqref>
        </x14:dataValidation>
        <x14:dataValidation type="list" allowBlank="1" showInputMessage="1" showErrorMessage="1" xr:uid="{EF1A7EE7-C7A2-403F-A736-199B3CEF11D0}">
          <x14:formula1>
            <xm:f>'Auto Responses'!$J$3:$J$5</xm:f>
          </x14:formula1>
          <xm:sqref>C25:C26 C80:C81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C2E64-EA3F-4B77-8C3F-88A9ACA8C66C}">
  <sheetPr>
    <tabColor rgb="FF00636C"/>
  </sheetPr>
  <dimension ref="A1:L1048576"/>
  <sheetViews>
    <sheetView showGridLines="0" showZeros="0" topLeftCell="A46" zoomScale="80" zoomScaleNormal="80" workbookViewId="0">
      <selection activeCell="D39" sqref="D39"/>
    </sheetView>
  </sheetViews>
  <sheetFormatPr defaultColWidth="0" defaultRowHeight="0" customHeight="1" zeroHeight="1" x14ac:dyDescent="0.25"/>
  <cols>
    <col min="1" max="1" width="8.3046875" customWidth="1"/>
    <col min="2" max="2" width="55.07421875" style="1" customWidth="1"/>
    <col min="3" max="3" width="18.921875" style="8" customWidth="1"/>
    <col min="4" max="4" width="55.69140625" style="9" customWidth="1"/>
    <col min="5" max="5" width="32" style="10" customWidth="1"/>
    <col min="6" max="6" width="30.69140625" style="198" customWidth="1"/>
    <col min="7" max="7" width="18.07421875" style="1" customWidth="1"/>
    <col min="8" max="8" width="18.07421875" style="1" hidden="1" customWidth="1"/>
    <col min="9" max="10" width="18.07421875" style="35" hidden="1" customWidth="1"/>
    <col min="11" max="11" width="4.4609375" style="1" hidden="1" customWidth="1"/>
    <col min="12" max="12" width="6.61328125" style="1" hidden="1" customWidth="1"/>
    <col min="13" max="16384" width="6.61328125" hidden="1"/>
  </cols>
  <sheetData>
    <row r="1" spans="1:10" ht="0" hidden="1" customHeight="1" x14ac:dyDescent="0.25">
      <c r="A1" t="s">
        <v>1448</v>
      </c>
    </row>
    <row r="2" spans="1:10" ht="36" customHeight="1" x14ac:dyDescent="0.25">
      <c r="A2" s="168" t="s">
        <v>1380</v>
      </c>
      <c r="B2" s="168"/>
      <c r="C2" s="169"/>
      <c r="D2" s="308"/>
      <c r="E2" s="170"/>
      <c r="F2" s="197" t="str">
        <f>'Auto Responses'!$A$36</f>
        <v>Version 4.1.5</v>
      </c>
      <c r="J2" s="1"/>
    </row>
    <row r="3" spans="1:10" s="1" customFormat="1" ht="29.1" customHeight="1" x14ac:dyDescent="0.25">
      <c r="A3" s="37" t="s">
        <v>940</v>
      </c>
      <c r="B3" s="38"/>
      <c r="C3" s="66">
        <f>'START HERE'!$C$3</f>
        <v>0</v>
      </c>
      <c r="D3" s="309"/>
      <c r="E3" s="36"/>
      <c r="F3" s="50"/>
      <c r="I3" s="35"/>
    </row>
    <row r="4" spans="1:10" s="1" customFormat="1" ht="36" customHeight="1" x14ac:dyDescent="0.25">
      <c r="A4" s="11" t="s">
        <v>865</v>
      </c>
      <c r="B4" s="12"/>
      <c r="C4" s="13"/>
      <c r="D4" s="14"/>
      <c r="E4" s="15"/>
      <c r="F4" s="15"/>
      <c r="I4" s="35"/>
    </row>
    <row r="5" spans="1:10" s="1" customFormat="1" ht="19.5" customHeight="1" x14ac:dyDescent="0.25">
      <c r="A5" s="42" t="str">
        <f>HLOOKUP($A$4,'Auto Responses'!$D$2:$D$8,2,0)&amp;""</f>
        <v>1. Complete the "Start Here" tab and review the "Required Questions" guidance to find the other sections are required for your product or service.</v>
      </c>
      <c r="B5" s="16"/>
      <c r="C5" s="67"/>
      <c r="D5" s="310"/>
      <c r="E5" s="16"/>
      <c r="F5" s="261"/>
      <c r="I5" s="35"/>
    </row>
    <row r="6" spans="1:10"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10"/>
      <c r="E6" s="16"/>
      <c r="F6" s="262"/>
      <c r="I6" s="35"/>
    </row>
    <row r="7" spans="1:10"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10"/>
      <c r="E7" s="16"/>
      <c r="F7" s="262"/>
      <c r="I7" s="35"/>
    </row>
    <row r="8" spans="1:10" s="1" customFormat="1" ht="19.5" customHeight="1" x14ac:dyDescent="0.25">
      <c r="A8" s="42" t="str">
        <f>HLOOKUP($A$4,'Auto Responses'!$D$2:$D$8,5,0)&amp;""</f>
        <v>4. DO NOT complete any fields in the "Evaluation" sheets or the "Analyst Notes" column.</v>
      </c>
      <c r="B8" s="16"/>
      <c r="C8" s="67"/>
      <c r="D8" s="310"/>
      <c r="E8" s="16"/>
      <c r="F8" s="262"/>
      <c r="I8" s="35"/>
    </row>
    <row r="9" spans="1:10" s="1" customFormat="1" ht="19.5" customHeight="1" x14ac:dyDescent="0.25">
      <c r="A9" s="42" t="str">
        <f>HLOOKUP($A$4,'Auto Responses'!$D$2:$D$8,6,0)&amp;""</f>
        <v>5. Return the completed file to institutions.</v>
      </c>
      <c r="B9" s="16"/>
      <c r="C9" s="67"/>
      <c r="D9" s="310"/>
      <c r="E9" s="16"/>
      <c r="F9" s="262"/>
      <c r="I9" s="35"/>
    </row>
    <row r="10" spans="1:10" s="1" customFormat="1" ht="19.5" customHeight="1" x14ac:dyDescent="0.25">
      <c r="A10" s="247" t="str">
        <f>HLOOKUP($A$4,'Auto Responses'!$D$2:$D$8,7,0)&amp;""</f>
        <v>* Denotes critical questions. Critical questions are those deemed most important to institutions by higher education volunteers.</v>
      </c>
      <c r="B10" s="16"/>
      <c r="C10" s="67"/>
      <c r="D10" s="310"/>
      <c r="E10" s="16"/>
      <c r="F10" s="262"/>
      <c r="I10" s="35"/>
    </row>
    <row r="11" spans="1:10" s="1" customFormat="1" ht="19.5" customHeight="1" x14ac:dyDescent="0.25">
      <c r="A11" s="246" t="str">
        <f>HLOOKUP($A$4,'Auto Responses'!$D$2:$D$9,8,0)&amp;""</f>
        <v>For full instructions, please visit educause.edu/HECVAT</v>
      </c>
      <c r="B11" s="16"/>
      <c r="C11" s="67"/>
      <c r="D11" s="310"/>
      <c r="E11" s="16"/>
      <c r="F11" s="263"/>
      <c r="I11" s="35"/>
    </row>
    <row r="12" spans="1:10" s="1" customFormat="1" ht="36" customHeight="1" x14ac:dyDescent="0.25">
      <c r="A12" s="63" t="str">
        <f>VLOOKUP(LEFT($A13,4),'Auto Responses'!$N$4:$O$38,2,0)&amp;""</f>
        <v xml:space="preserve"> General Information</v>
      </c>
      <c r="B12" s="12"/>
      <c r="C12" s="13" t="s">
        <v>1497</v>
      </c>
      <c r="D12" s="311"/>
      <c r="E12" s="17"/>
      <c r="F12" s="17"/>
      <c r="I12" s="35"/>
      <c r="J12" s="35"/>
    </row>
    <row r="13" spans="1:10" s="1" customFormat="1" ht="22.35" customHeight="1" x14ac:dyDescent="0.25">
      <c r="A13" s="19" t="s">
        <v>21</v>
      </c>
      <c r="B13" s="20" t="str">
        <f>VLOOKUP($A13,Questions!$A$2:$X$333,2,0)&amp;""</f>
        <v>Solution Provider Name</v>
      </c>
      <c r="C13" s="76" t="str">
        <f>VLOOKUP($A13,'START HERE'!$A$13:$C$21,3,0)&amp;""</f>
        <v>Cursive Technology Inc</v>
      </c>
      <c r="D13" s="32"/>
      <c r="E13" s="32"/>
      <c r="F13" s="50"/>
      <c r="I13" s="35"/>
      <c r="J13" s="35"/>
    </row>
    <row r="14" spans="1:10" s="1" customFormat="1" ht="22.35" customHeight="1" x14ac:dyDescent="0.25">
      <c r="A14" s="19" t="s">
        <v>24</v>
      </c>
      <c r="B14" s="20" t="str">
        <f>VLOOKUP($A14,Questions!$A$2:$X$333,2,0)&amp;""</f>
        <v>Solution Name</v>
      </c>
      <c r="C14" s="76" t="str">
        <f>VLOOKUP($A14,'START HERE'!$A$13:$C$21,3,0)&amp;""</f>
        <v>TypeID</v>
      </c>
      <c r="D14" s="32"/>
      <c r="E14" s="32"/>
      <c r="F14" s="50"/>
      <c r="I14" s="35"/>
      <c r="J14" s="35"/>
    </row>
    <row r="15" spans="1:10" s="1" customFormat="1" ht="22.35" customHeight="1" x14ac:dyDescent="0.25">
      <c r="A15" s="19" t="s">
        <v>25</v>
      </c>
      <c r="B15" s="20" t="str">
        <f>VLOOKUP($A15,Questions!$A$2:$X$333,2,0)&amp;""</f>
        <v>Solution Description</v>
      </c>
      <c r="C15" s="76" t="str">
        <f>VLOOKUP($A15,'START HERE'!$A$13:$C$21,3,0)&amp;""</f>
        <v>Continuous authorship verification and writing analytics using typing biometrics. Native Moodle plugin, browser extension for any LMS, WordPress-based authorship report and verification system.</v>
      </c>
      <c r="D15" s="32"/>
      <c r="E15" s="32"/>
      <c r="F15" s="50"/>
      <c r="I15" s="35"/>
      <c r="J15" s="35"/>
    </row>
    <row r="16" spans="1:10" s="1" customFormat="1" ht="22.35" customHeight="1" thickBot="1" x14ac:dyDescent="0.3">
      <c r="A16" s="19" t="s">
        <v>30</v>
      </c>
      <c r="B16" s="20" t="str">
        <f>VLOOKUP($A16,Questions!$A$2:$X$333,2,0)&amp;""</f>
        <v>Country of Company Headquarters</v>
      </c>
      <c r="C16" s="76" t="str">
        <f>VLOOKUP($A16,'START HERE'!$A$13:$C$21,3,0)&amp;""</f>
        <v>USA</v>
      </c>
      <c r="D16" s="32"/>
      <c r="E16" s="32"/>
      <c r="F16" s="50"/>
      <c r="I16" s="35"/>
      <c r="J16" s="35"/>
    </row>
    <row r="17" spans="1:10" s="1" customFormat="1" ht="37.35" customHeight="1" thickBot="1" x14ac:dyDescent="0.3">
      <c r="A17" s="63" t="str">
        <f>VLOOKUP(LEFT($A18,4),'Auto Responses'!$N$4:$O$38,2,0)&amp;""</f>
        <v xml:space="preserve"> Required Questions</v>
      </c>
      <c r="B17" s="22"/>
      <c r="C17" s="13" t="s">
        <v>1497</v>
      </c>
      <c r="D17" s="13" t="s">
        <v>72</v>
      </c>
      <c r="E17" s="31" t="s">
        <v>848</v>
      </c>
      <c r="F17" s="202" t="s">
        <v>849</v>
      </c>
      <c r="I17" s="35"/>
      <c r="J17" s="35"/>
    </row>
    <row r="18" spans="1:10" s="1" customFormat="1" ht="38.25" customHeight="1" thickBot="1" x14ac:dyDescent="0.3">
      <c r="A18" s="19" t="s">
        <v>58</v>
      </c>
      <c r="B18" s="18" t="str">
        <f>VLOOKUP($A18,Questions!$A$2:$X$333,2,0)</f>
        <v>Does your solution have AI features, or are there plans to implement AI features in the next 12 months?</v>
      </c>
      <c r="C18" s="72" t="str">
        <f>VLOOKUP($A18,'START HERE'!$A$23:$F$36,3,0)&amp;""</f>
        <v>Yes</v>
      </c>
      <c r="D18" s="336" t="str">
        <f>VLOOKUP($A18,'START HERE'!$A$23:$F$36,4,0)&amp;""</f>
        <v>We leverage two proprietary machine learning models, keyread and copy-behavior.</v>
      </c>
      <c r="E18" s="167" t="str">
        <f>IF($C18='Auto Responses'!$J$3,VLOOKUP($A18,Questions!$A$2:$X$333,17,0)&amp;"",IF($C18='Auto Responses'!$J$4,VLOOKUP($A18,Questions!$A$2:$X$333,16,0)&amp;"",VLOOKUP($A18,Questions!$A$2:$X$333,15,0)&amp;""))</f>
        <v>DO complete the Artificial Intelligence (AI) worksheet</v>
      </c>
      <c r="F18" s="201" t="str">
        <f>VLOOKUP($A18,'Institution Evaluation'!$A$56:$F$345,6,0)&amp;""</f>
        <v/>
      </c>
      <c r="G18" s="238" t="s">
        <v>1449</v>
      </c>
      <c r="I18" s="35"/>
      <c r="J18" s="35"/>
    </row>
    <row r="19" spans="1:10" s="1" customFormat="1" ht="37.35" customHeight="1" thickBot="1" x14ac:dyDescent="0.3">
      <c r="A19" s="63" t="str">
        <f>VLOOKUP(LEFT($A20,4),'Auto Responses'!$N$4:$O$38,2,0)&amp;""</f>
        <v xml:space="preserve"> AI Qualifying Questions</v>
      </c>
      <c r="B19" s="22"/>
      <c r="C19" s="13" t="s">
        <v>1497</v>
      </c>
      <c r="D19" s="13" t="s">
        <v>72</v>
      </c>
      <c r="E19" s="31" t="s">
        <v>848</v>
      </c>
      <c r="F19" s="202" t="s">
        <v>849</v>
      </c>
      <c r="I19" s="35"/>
      <c r="J19" s="35"/>
    </row>
    <row r="20" spans="1:10" s="1" customFormat="1" ht="84.75" customHeight="1" x14ac:dyDescent="0.25">
      <c r="A20" s="19" t="s">
        <v>782</v>
      </c>
      <c r="B20" s="18" t="str">
        <f>VLOOKUP($A20,Questions!$A$2:$X$333,2,0)</f>
        <v>Does your solution leverage machine learning (ML) or do you plan to do so in the next 12 months?</v>
      </c>
      <c r="C20" s="21" t="s">
        <v>40</v>
      </c>
      <c r="D20" s="336" t="s">
        <v>1931</v>
      </c>
      <c r="E20" s="167" t="str">
        <f>IF($C$18='Auto Responses'!$J$4,'Auto Responses'!$A$6,IF($C20='Auto Responses'!$J$3,VLOOKUP($A20,Questions!$A$2:$X$333,17,0)&amp;"",IF($C20='Auto Responses'!$J$4,VLOOKUP($A20,Questions!$A$2:$X$333,16,0)&amp;"",VLOOKUP($A20,Questions!$A$2:$X$333,15,0)&amp;"")))</f>
        <v>DO complete the Machine Learning section (AIML)</v>
      </c>
      <c r="F20" s="201" t="str">
        <f>VLOOKUP($A20,'Institution Evaluation'!$A$56:$F$345,6,0)&amp;""</f>
        <v/>
      </c>
      <c r="I20" s="35"/>
      <c r="J20" s="35"/>
    </row>
    <row r="21" spans="1:10" s="1" customFormat="1" ht="78.75" customHeight="1" thickBot="1" x14ac:dyDescent="0.3">
      <c r="A21" s="19" t="s">
        <v>783</v>
      </c>
      <c r="B21" s="18" t="str">
        <f>VLOOKUP($A21,Questions!$A$2:$X$333,2,0)</f>
        <v>Does your solution leverage a large language model (LLM) or do you plan to do so in the next 12 months?</v>
      </c>
      <c r="C21" s="21" t="s">
        <v>148</v>
      </c>
      <c r="D21" s="313"/>
      <c r="E21" s="167" t="str">
        <f>IF($C$18='Auto Responses'!$J$4,'Auto Responses'!$A$6,IF($C21='Auto Responses'!$J$3,VLOOKUP($A21,Questions!$A$2:$X$333,17,0)&amp;"",IF($C21='Auto Responses'!$J$4,VLOOKUP($A21,Questions!$A$2:$X$333,16,0)&amp;"",VLOOKUP($A21,Questions!$A$2:$X$333,15,0)&amp;"")))</f>
        <v>DO NOT complete the Large Language Model section (AILM)</v>
      </c>
      <c r="F21" s="201" t="str">
        <f>VLOOKUP($A21,'Institution Evaluation'!$A$56:$F$345,6,0)&amp;""</f>
        <v/>
      </c>
      <c r="G21" s="238" t="s">
        <v>1449</v>
      </c>
      <c r="I21" s="35"/>
      <c r="J21" s="35"/>
    </row>
    <row r="22" spans="1:10" s="1" customFormat="1" ht="37.35" customHeight="1" thickBot="1" x14ac:dyDescent="0.3">
      <c r="A22" s="63" t="str">
        <f>VLOOKUP(LEFT($A23,4),'Auto Responses'!$N$4:$O$38,2,0)&amp;""</f>
        <v xml:space="preserve"> General AI Questions</v>
      </c>
      <c r="B22" s="22"/>
      <c r="C22" s="13" t="s">
        <v>1497</v>
      </c>
      <c r="D22" s="13" t="s">
        <v>72</v>
      </c>
      <c r="E22" s="31" t="s">
        <v>848</v>
      </c>
      <c r="F22" s="202" t="s">
        <v>849</v>
      </c>
      <c r="I22" s="35"/>
      <c r="J22" s="35"/>
    </row>
    <row r="23" spans="1:10" s="1" customFormat="1" ht="124.2" x14ac:dyDescent="0.25">
      <c r="A23" s="19" t="s">
        <v>784</v>
      </c>
      <c r="B23" s="18" t="str">
        <f>VLOOKUP($A23,Questions!$A$2:$X$333,2,0)</f>
        <v>Does your solution have an AI risk model when developing or implementing your solution's AI model?*</v>
      </c>
      <c r="C23" s="21" t="s">
        <v>148</v>
      </c>
      <c r="D23" s="369" t="s">
        <v>2012</v>
      </c>
      <c r="E23" s="167" t="str">
        <f>IF($C$18='Auto Responses'!$J$4,'Auto Responses'!$A$6,IF($C23='Auto Responses'!$J$3,VLOOKUP($A23,Questions!$A$2:$X$333,17,0)&amp;"",IF($C23='Auto Responses'!$J$4,VLOOKUP($A23,Questions!$A$2:$X$333,16,0)&amp;"",VLOOKUP($A23,Questions!$A$2:$X$333,15,0)&amp;"")))</f>
        <v>Describe your current AI risk management strategy. Provide a timeline for implementation of an AI risk framework, model, or methodology.</v>
      </c>
      <c r="F23" s="201" t="str">
        <f>VLOOKUP($A23,'Institution Evaluation'!$A$56:$F$345,6,0)&amp;""</f>
        <v/>
      </c>
      <c r="I23" s="35"/>
      <c r="J23" s="35"/>
    </row>
    <row r="24" spans="1:10" s="1" customFormat="1" ht="151.80000000000001" x14ac:dyDescent="0.25">
      <c r="A24" s="19" t="s">
        <v>785</v>
      </c>
      <c r="B24" s="18" t="str">
        <f>VLOOKUP($A24,Questions!$A$2:$X$333,2,0)</f>
        <v>Can your solution's AI features be disabled by tenant and/or user?*</v>
      </c>
      <c r="C24" s="21" t="s">
        <v>148</v>
      </c>
      <c r="D24" s="369" t="s">
        <v>2013</v>
      </c>
      <c r="E24" s="167" t="str">
        <f>IF($C$18='Auto Responses'!$J$4,'Auto Responses'!$A$6,IF($C24='Auto Responses'!$J$3,VLOOKUP($A24,Questions!$A$2:$X$333,17,0)&amp;"",IF($C24='Auto Responses'!$J$4,VLOOKUP($A24,Questions!$A$2:$X$333,16,0)&amp;"",IF($C24='Auto Responses'!$J$5,VLOOKUP($A24,Questions!$A$2:$X$333,18,0)&amp;"",VLOOKUP($A24,Questions!$A$2:$X$333,15,0)&amp;""))))</f>
        <v>Provide alternate workflows to disable AI features. Describe plans to include control of AI features.</v>
      </c>
      <c r="F24" s="201" t="str">
        <f>VLOOKUP($A24,'Institution Evaluation'!$A$56:$F$345,6,0)&amp;""</f>
        <v/>
      </c>
      <c r="I24" s="35"/>
      <c r="J24" s="35"/>
    </row>
    <row r="25" spans="1:10" s="1" customFormat="1" ht="46.5" customHeight="1" x14ac:dyDescent="0.25">
      <c r="A25" s="19" t="s">
        <v>786</v>
      </c>
      <c r="B25" s="18" t="str">
        <f>VLOOKUP($A25,Questions!$A$2:$X$333,2,0)</f>
        <v>Have your staff completed responsible AI training?*</v>
      </c>
      <c r="C25" s="21" t="s">
        <v>148</v>
      </c>
      <c r="D25" s="369" t="s">
        <v>2014</v>
      </c>
      <c r="E25" s="167" t="str">
        <f>IF($C$18='Auto Responses'!$J$4,'Auto Responses'!$A$6,IF($C25='Auto Responses'!$J$3,VLOOKUP($A25,Questions!$A$2:$X$333,17,0)&amp;"",IF($C25='Auto Responses'!$J$4,VLOOKUP($A25,Questions!$A$2:$X$333,16,0)&amp;"",VLOOKUP($A25,Questions!$A$2:$X$333,15,0)&amp;"")))</f>
        <v>Explain what alternative responsible AI awareness activities are in place, including whether future training is planned.</v>
      </c>
      <c r="F25" s="201" t="str">
        <f>VLOOKUP($A25,'Institution Evaluation'!$A$56:$F$345,6,0)&amp;""</f>
        <v/>
      </c>
      <c r="I25" s="35"/>
      <c r="J25" s="35"/>
    </row>
    <row r="26" spans="1:10" s="1" customFormat="1" ht="409.6" x14ac:dyDescent="0.25">
      <c r="A26" s="19" t="s">
        <v>787</v>
      </c>
      <c r="B26" s="18" t="str">
        <f>VLOOKUP($A26,Questions!$A$2:$X$333,2,0)</f>
        <v>Please describe the capabilities of your solution's AI features.</v>
      </c>
      <c r="C26" s="365" t="s">
        <v>2015</v>
      </c>
      <c r="D26" s="369"/>
      <c r="E26" s="167" t="str">
        <f>IF($C$18='Auto Responses'!$J$4,'Auto Responses'!$A$6,IF($C26='Auto Responses'!$J$3,VLOOKUP($A26,Questions!$A$2:$X$333,17,0)&amp;"",IF($C26='Auto Responses'!$J$4,VLOOKUP($A26,Questions!$A$2:$X$333,16,0)&amp;"",VLOOKUP($A26,Questions!$A$2:$X$333,15,0)&amp;"")))</f>
        <v>Describe capabilities such as content (text, image, audio, speech, video, or code) generation, visual interpretation, and predictive analytics. This encompasses all AI implementations, including third-party AI features. Clarify use cases or limits of the model.</v>
      </c>
      <c r="F26" s="201" t="str">
        <f>VLOOKUP($A26,'Institution Evaluation'!$A$56:$F$345,6,0)&amp;""</f>
        <v/>
      </c>
      <c r="I26" s="35"/>
      <c r="J26" s="35"/>
    </row>
    <row r="27" spans="1:10" s="1" customFormat="1" ht="138.6" thickBot="1" x14ac:dyDescent="0.3">
      <c r="A27" s="19" t="s">
        <v>788</v>
      </c>
      <c r="B27" s="18" t="str">
        <f>VLOOKUP($A27,Questions!$A$2:$X$333,2,0)</f>
        <v>Does your solution support business rules to protect sensitive data from being ingested by the AI model?</v>
      </c>
      <c r="C27" s="21" t="s">
        <v>40</v>
      </c>
      <c r="D27" s="369" t="s">
        <v>2016</v>
      </c>
      <c r="E27" s="167" t="str">
        <f>IF($C$18='Auto Responses'!$J$4,'Auto Responses'!$A$6,IF($C27='Auto Responses'!$J$3,VLOOKUP($A27,Questions!$A$2:$X$333,17,0)&amp;"",IF($C27='Auto Responses'!$J$4,VLOOKUP($A27,Questions!$A$2:$X$333,16,0)&amp;"",VLOOKUP($A27,Questions!$A$2:$X$333,15,0)&amp;"")))</f>
        <v>Provide data loss prevention (DLP) features as they relate to your AI offerings. Indicate whether these DLP rules are configurable at the institutional and/or user level.</v>
      </c>
      <c r="F27" s="201" t="str">
        <f>VLOOKUP($A27,'Institution Evaluation'!$A$56:$F$345,6,0)&amp;""</f>
        <v/>
      </c>
      <c r="G27" s="238" t="s">
        <v>1449</v>
      </c>
      <c r="I27" s="35"/>
      <c r="J27" s="35"/>
    </row>
    <row r="28" spans="1:10" s="1" customFormat="1" ht="37.35" customHeight="1" thickBot="1" x14ac:dyDescent="0.3">
      <c r="A28" s="63" t="str">
        <f>VLOOKUP(LEFT($A29,4),'Auto Responses'!$N$4:$O$38,2,0)&amp;""</f>
        <v xml:space="preserve"> AI Policy</v>
      </c>
      <c r="B28" s="22"/>
      <c r="C28" s="13" t="s">
        <v>1497</v>
      </c>
      <c r="D28" s="370" t="s">
        <v>72</v>
      </c>
      <c r="E28" s="31" t="s">
        <v>848</v>
      </c>
      <c r="F28" s="202" t="s">
        <v>849</v>
      </c>
      <c r="I28" s="35"/>
      <c r="J28" s="35"/>
    </row>
    <row r="29" spans="1:10" s="1" customFormat="1" ht="96.6" x14ac:dyDescent="0.25">
      <c r="A29" s="19" t="s">
        <v>789</v>
      </c>
      <c r="B29" s="18" t="str">
        <f>VLOOKUP($A29,Questions!$A$2:$X$333,2,0)</f>
        <v>Are your AI developer's policies, processes, procedures, and practices across the organization related to the mapping, measuring, and managing of AI risks conspicuously posted, unambiguous, and implemented effectively?*</v>
      </c>
      <c r="C29" s="21" t="s">
        <v>148</v>
      </c>
      <c r="D29" s="369" t="s">
        <v>2017</v>
      </c>
      <c r="E29" s="167" t="str">
        <f>IF($C$18='Auto Responses'!$J$4,'Auto Responses'!$A$6,IF($C29='Auto Responses'!$J$3,VLOOKUP($A29,Questions!$A$2:$X$333,17,0)&amp;"",IF($C29='Auto Responses'!$J$4,VLOOKUP($A29,Questions!$A$2:$X$333,16,0)&amp;"",VLOOKUP($A29,Questions!$A$2:$X$333,15,0)&amp;"")))</f>
        <v>Describe the steps your developers take to manage AI risks. Include a timeline for implementing policy and procedures for managing AI specific risks.</v>
      </c>
      <c r="F29" s="201" t="str">
        <f>VLOOKUP($A29,'Institution Evaluation'!$A$56:$F$345,6,0)&amp;""</f>
        <v/>
      </c>
      <c r="I29" s="35"/>
      <c r="J29" s="35"/>
    </row>
    <row r="30" spans="1:10" s="1" customFormat="1" ht="165.6" x14ac:dyDescent="0.25">
      <c r="A30" s="19" t="s">
        <v>790</v>
      </c>
      <c r="B30" s="18" t="str">
        <f>VLOOKUP($A30,Questions!$A$2:$X$333,2,0)</f>
        <v>Have you identified and measured AI risks?*</v>
      </c>
      <c r="C30" s="21" t="s">
        <v>148</v>
      </c>
      <c r="D30" s="369" t="s">
        <v>2018</v>
      </c>
      <c r="E30" s="167" t="str">
        <f>IF($C$18='Auto Responses'!$J$4,'Auto Responses'!$A$6,IF($C30='Auto Responses'!$J$3,VLOOKUP($A30,Questions!$A$2:$X$333,17,0)&amp;"",IF($C30='Auto Responses'!$J$4,VLOOKUP($A30,Questions!$A$2:$X$333,16,0)&amp;"",VLOOKUP($A30,Questions!$A$2:$X$333,15,0)&amp;"")))</f>
        <v>Provide a timeline for performing an AI specific risk assessment. Describe your plan for identifying and measuring AI risk in the future.</v>
      </c>
      <c r="F30" s="201" t="str">
        <f>VLOOKUP($A30,'Institution Evaluation'!$A$56:$F$345,6,0)&amp;""</f>
        <v/>
      </c>
      <c r="I30" s="35"/>
      <c r="J30" s="35"/>
    </row>
    <row r="31" spans="1:10" s="1" customFormat="1" ht="124.2" x14ac:dyDescent="0.25">
      <c r="A31" s="19" t="s">
        <v>791</v>
      </c>
      <c r="B31" s="18" t="str">
        <f>VLOOKUP($A31,Questions!$A$2:$X$333,2,0)</f>
        <v>In the event of an incident, can your solution's AI features be disabled in a timely manner?*</v>
      </c>
      <c r="C31" s="21" t="s">
        <v>40</v>
      </c>
      <c r="D31" s="369" t="s">
        <v>2019</v>
      </c>
      <c r="E31" s="167" t="str">
        <f>IF($C$18='Auto Responses'!$J$4,'Auto Responses'!$A$6,IF($C31='Auto Responses'!$J$3,VLOOKUP($A31,Questions!$A$2:$X$333,17,0)&amp;"",IF($C31='Auto Responses'!$J$4,VLOOKUP($A31,Questions!$A$2:$X$333,16,0)&amp;"",VLOOKUP($A31,Questions!$A$2:$X$333,15,0)&amp;"")))</f>
        <v>Provide documentation on how to disable AI features. Include a time estimate for the time between disabling the feature and when the feature is inaccessible to users.</v>
      </c>
      <c r="F31" s="201" t="str">
        <f>VLOOKUP($A31,'Institution Evaluation'!$A$56:$F$345,6,0)&amp;""</f>
        <v/>
      </c>
      <c r="I31" s="35"/>
      <c r="J31" s="35"/>
    </row>
    <row r="32" spans="1:10" s="1" customFormat="1" ht="123" customHeight="1" x14ac:dyDescent="0.25">
      <c r="A32" s="19" t="s">
        <v>792</v>
      </c>
      <c r="B32" s="18" t="str">
        <f>VLOOKUP($A32,Questions!$A$2:$X$333,2,0)</f>
        <v>If disabled because of an incident, can your solution's AI features be re-enabled in a timely manner?*</v>
      </c>
      <c r="C32" s="21" t="s">
        <v>40</v>
      </c>
      <c r="D32" s="369" t="s">
        <v>2020</v>
      </c>
      <c r="E32" s="167" t="str">
        <f>IF($C$18='Auto Responses'!$J$4,'Auto Responses'!$A$6,IF($C$31='Auto Responses'!$J$4,'Auto Responses'!$A$27,IF($C32='Auto Responses'!$J$3,VLOOKUP($A32,Questions!$A$2:$X$333,17,0)&amp;"",IF($C32='Auto Responses'!$J$4,VLOOKUP($A32,Questions!$A$2:$X$333,16,0)&amp;"",IF($C32='Auto Responses'!$J$5,VLOOKUP($A32,Questions!$A$2:$X$333,18,0)&amp;"",VLOOKUP($A32,Questions!$A$2:$X$333,15,0)&amp;"")))))</f>
        <v>Provide documentation on how to enable AI features. Include a time estimate for the time between enabling the feature and when the feature is accessible to users.</v>
      </c>
      <c r="F32" s="201" t="str">
        <f>VLOOKUP($A32,'Institution Evaluation'!$A$56:$F$345,6,0)&amp;""</f>
        <v/>
      </c>
      <c r="I32" s="35"/>
      <c r="J32" s="35"/>
    </row>
    <row r="33" spans="1:10" s="1" customFormat="1" ht="124.8" thickBot="1" x14ac:dyDescent="0.3">
      <c r="A33" s="19" t="s">
        <v>793</v>
      </c>
      <c r="B33" s="18" t="str">
        <f>VLOOKUP($A33,Questions!$A$2:$X$333,2,0)</f>
        <v>Do you have documented technical and procedural processes to address potential negative impacts of AI as described by the AI Risk Management Framework (RMF)?</v>
      </c>
      <c r="C33" s="21" t="s">
        <v>148</v>
      </c>
      <c r="D33" s="369" t="s">
        <v>2021</v>
      </c>
      <c r="E33" s="167" t="str">
        <f>IF($C$18='Auto Responses'!$J$4,'Auto Responses'!$A$6,IF($C33='Auto Responses'!$J$3,VLOOKUP($A33,Questions!$A$2:$X$333,17,0)&amp;"",IF($C33='Auto Responses'!$J$4,VLOOKUP($A33,Questions!$A$2:$X$333,16,0)&amp;"",VLOOKUP($A33,Questions!$A$2:$X$333,15,0)&amp;"")))</f>
        <v>Describe your plan and timeline for implementing technical and procedural processes to mitigate negative impacts of AI, as defined by the NIST AI RMF.</v>
      </c>
      <c r="F33" s="201" t="str">
        <f>VLOOKUP($A33,'Institution Evaluation'!$A$56:$F$345,6,0)&amp;""</f>
        <v/>
      </c>
      <c r="G33" s="238" t="s">
        <v>1449</v>
      </c>
      <c r="I33" s="35"/>
      <c r="J33" s="35"/>
    </row>
    <row r="34" spans="1:10" s="1" customFormat="1" ht="37.35" customHeight="1" thickBot="1" x14ac:dyDescent="0.3">
      <c r="A34" s="63" t="str">
        <f>VLOOKUP(LEFT($A35,4),'Auto Responses'!$N$4:$O$38,2,0)&amp;""</f>
        <v xml:space="preserve"> AI Data Security</v>
      </c>
      <c r="B34" s="22"/>
      <c r="C34" s="13" t="s">
        <v>1497</v>
      </c>
      <c r="D34" s="370" t="s">
        <v>72</v>
      </c>
      <c r="E34" s="31" t="s">
        <v>848</v>
      </c>
      <c r="F34" s="202" t="s">
        <v>849</v>
      </c>
      <c r="I34" s="35"/>
      <c r="J34" s="35"/>
    </row>
    <row r="35" spans="1:10" s="1" customFormat="1" ht="207" x14ac:dyDescent="0.25">
      <c r="A35" s="19" t="s">
        <v>794</v>
      </c>
      <c r="B35" s="18" t="str">
        <f>VLOOKUP($A35,Questions!$A$2:$X$333,2,0)</f>
        <v>If sensitive data is introduced to your solution's AI model, can the data be removed from the AI model by request?*</v>
      </c>
      <c r="C35" s="21" t="s">
        <v>148</v>
      </c>
      <c r="D35" s="369" t="s">
        <v>2022</v>
      </c>
      <c r="E35" s="167" t="str">
        <f>IF($C$18='Auto Responses'!$J$4,'Auto Responses'!$A$6,IF($C$31='Auto Responses'!$J$4,'Auto Responses'!$A$27,IF($C35='Auto Responses'!$J$3,VLOOKUP($A35,Questions!$A$2:$X$333,17,0)&amp;"",IF($C35='Auto Responses'!$J$4,VLOOKUP($A35,Questions!$A$2:$X$333,16,0)&amp;"",IF($C35='Auto Responses'!$J$5,VLOOKUP($A35,Questions!$A$2:$X$333,18,0)&amp;"",VLOOKUP($A35,Questions!$A$2:$X$333,15,0)&amp;"")))))</f>
        <v>If data removal or unlearning is not supported, explain why and describe compensating controls (e.g., filtering, short-term memory, differential privacy). Clarify how sensitive data is managed, and note any future plans to support deletion requests.</v>
      </c>
      <c r="F35" s="201" t="str">
        <f>VLOOKUP($A35,'Institution Evaluation'!$A$56:$F$345,6,0)&amp;""</f>
        <v/>
      </c>
      <c r="I35" s="35"/>
      <c r="J35" s="35"/>
    </row>
    <row r="36" spans="1:10" s="1" customFormat="1" ht="96.6" x14ac:dyDescent="0.25">
      <c r="A36" s="19" t="s">
        <v>795</v>
      </c>
      <c r="B36" s="18" t="str">
        <f>VLOOKUP($A36,Questions!$A$2:$X$333,2,0)</f>
        <v>Is user input data used to influence your solution's AI model?*</v>
      </c>
      <c r="C36" s="21" t="s">
        <v>148</v>
      </c>
      <c r="D36" s="369" t="s">
        <v>2023</v>
      </c>
      <c r="E36" s="167" t="str">
        <f>IF($C$18='Auto Responses'!$J$4,'Auto Responses'!$A$6,IF($C36='Auto Responses'!$J$3,VLOOKUP($A36,Questions!$A$2:$X$333,17,0)&amp;"",IF($C36='Auto Responses'!$J$4,VLOOKUP($A36,Questions!$A$2:$X$333,16,0)&amp;"",VLOOKUP($A36,Questions!$A$2:$X$333,15,0)&amp;"")))</f>
        <v>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v>
      </c>
      <c r="F36" s="201" t="str">
        <f>VLOOKUP($A36,'Institution Evaluation'!$A$56:$F$345,6,0)&amp;""</f>
        <v/>
      </c>
      <c r="I36" s="35"/>
      <c r="J36" s="35"/>
    </row>
    <row r="37" spans="1:10" s="1" customFormat="1" ht="69" x14ac:dyDescent="0.25">
      <c r="A37" s="19" t="s">
        <v>796</v>
      </c>
      <c r="B37" s="18" t="str">
        <f>VLOOKUP($A37,Questions!$A$2:$X$333,2,0)</f>
        <v>Do you provide logging for your solution's AI feature(s) that includes user, date, and action taken?*</v>
      </c>
      <c r="C37" s="21" t="s">
        <v>40</v>
      </c>
      <c r="D37" s="369" t="s">
        <v>2024</v>
      </c>
      <c r="E37" s="167" t="str">
        <f>IF($C$18='Auto Responses'!$J$4,'Auto Responses'!$A$6,IF($C37='Auto Responses'!$J$3,VLOOKUP($A37,Questions!$A$2:$X$333,17,0)&amp;"",IF($C37='Auto Responses'!$J$4,VLOOKUP($A37,Questions!$A$2:$X$333,16,0)&amp;"",VLOOKUP($A37,Questions!$A$2:$X$333,15,0)&amp;"")))</f>
        <v>Describe what audit logs capture, how long they are retained, whether they are immutable, and how they support audits and oversight.</v>
      </c>
      <c r="F37" s="201" t="str">
        <f>VLOOKUP($A37,'Institution Evaluation'!$A$56:$F$345,6,0)&amp;""</f>
        <v/>
      </c>
      <c r="I37" s="35"/>
      <c r="J37" s="35"/>
    </row>
    <row r="38" spans="1:10" s="1" customFormat="1" ht="409.6" x14ac:dyDescent="0.25">
      <c r="A38" s="19" t="s">
        <v>797</v>
      </c>
      <c r="B38" s="18" t="str">
        <f>VLOOKUP($A38,Questions!$A$2:$X$333,2,0)</f>
        <v>Please describe how you validate user inputs.</v>
      </c>
      <c r="C38" s="365" t="s">
        <v>2025</v>
      </c>
      <c r="D38" s="369"/>
      <c r="E38" s="167" t="str">
        <f>IF($C$18='Auto Responses'!$J$4,'Auto Responses'!$A$6,IF($C38='Auto Responses'!$J$3,VLOOKUP($A38,Questions!$A$2:$X$333,17,0)&amp;"",IF($C38='Auto Responses'!$J$4,VLOOKUP($A38,Questions!$A$2:$X$333,16,0)&amp;"",VLOOKUP($A38,Questions!$A$2:$X$333,15,0)&amp;"")))</f>
        <v>Please describe how your solution validates user inputs, including detection of anomalies, malicious inputs, and sensitive data. Indicate where validation occurs and how it supports security and compliance.</v>
      </c>
      <c r="F38" s="201" t="str">
        <f>VLOOKUP($A38,'Institution Evaluation'!$A$56:$F$345,6,0)&amp;""</f>
        <v/>
      </c>
      <c r="I38" s="35"/>
      <c r="J38" s="35"/>
    </row>
    <row r="39" spans="1:10" s="1" customFormat="1" ht="207.6" thickBot="1" x14ac:dyDescent="0.3">
      <c r="A39" s="19" t="s">
        <v>798</v>
      </c>
      <c r="B39" s="18" t="str">
        <f>VLOOKUP($A39,Questions!$A$2:$X$333,2,0)</f>
        <v>Do you plan for and mitigate supply-chain risk related to your AI features?</v>
      </c>
      <c r="C39" s="21" t="s">
        <v>40</v>
      </c>
      <c r="D39" s="369" t="s">
        <v>2025</v>
      </c>
      <c r="E39" s="167" t="str">
        <f>IF($C$18='Auto Responses'!$J$4,'Auto Responses'!$A$6,IF($C39='Auto Responses'!$J$3,VLOOKUP($A39,Questions!$A$2:$X$333,17,0)&amp;"",IF($C39='Auto Responses'!$J$4,VLOOKUP($A39,Questions!$A$2:$X$333,16,0)&amp;"",VLOOKUP($A39,Questions!$A$2:$X$333,15,0)&amp;"")))</f>
        <v>Describe your use of SAST, SBOM, and monitoring of third-party AI components, and how you address vulnerabilities in line with NIST and state requirements</v>
      </c>
      <c r="F39" s="201" t="str">
        <f>VLOOKUP($A39,'Institution Evaluation'!$A$56:$F$345,6,0)&amp;""</f>
        <v/>
      </c>
      <c r="G39" s="238" t="s">
        <v>1449</v>
      </c>
      <c r="I39" s="35"/>
      <c r="J39" s="35"/>
    </row>
    <row r="40" spans="1:10" s="1" customFormat="1" ht="37.35" customHeight="1" thickBot="1" x14ac:dyDescent="0.3">
      <c r="A40" s="63" t="str">
        <f>VLOOKUP(LEFT($A41,4),'Auto Responses'!$N$4:$O$38,2,0)&amp;""</f>
        <v xml:space="preserve"> AI Machine Learning</v>
      </c>
      <c r="B40" s="22"/>
      <c r="C40" s="13" t="s">
        <v>1497</v>
      </c>
      <c r="D40" s="370" t="s">
        <v>72</v>
      </c>
      <c r="E40" s="31" t="s">
        <v>848</v>
      </c>
      <c r="F40" s="202" t="s">
        <v>849</v>
      </c>
      <c r="I40" s="35"/>
      <c r="J40" s="35"/>
    </row>
    <row r="41" spans="1:10" s="1" customFormat="1" ht="151.80000000000001" x14ac:dyDescent="0.25">
      <c r="A41" s="19" t="s">
        <v>799</v>
      </c>
      <c r="B41" s="18" t="str">
        <f>VLOOKUP($A41,Questions!$A$2:$X$333,2,0)</f>
        <v>Do you separate ML training data from your ML solution data?*</v>
      </c>
      <c r="C41" s="21" t="s">
        <v>40</v>
      </c>
      <c r="D41" s="369" t="s">
        <v>2004</v>
      </c>
      <c r="E41" s="167" t="str">
        <f>IF($C$18='Auto Responses'!$J$4,'Auto Responses'!$A$6,IF($C$20='Auto Responses'!$J$4,'Auto Responses'!$A$10,IF($C41='Auto Responses'!$J$3,VLOOKUP($A41,Questions!$A$2:$X$333,17,0)&amp;"",IF($C41='Auto Responses'!$J$4,VLOOKUP($A41,Questions!$A$2:$X$333,16,0)&amp;"",VLOOKUP($A41,Questions!$A$2:$X$333,15,0)&amp;""))))</f>
        <v>Describe how training data is separated from production data, including anonymization, segregation controls, or exclusions. Indicate whether institutions can opt out of data being used in training.</v>
      </c>
      <c r="F41" s="201" t="str">
        <f>VLOOKUP($A41,'Institution Evaluation'!$A$56:$F$345,6,0)&amp;""</f>
        <v/>
      </c>
      <c r="I41" s="35"/>
      <c r="J41" s="35"/>
    </row>
    <row r="42" spans="1:10" s="1" customFormat="1" ht="69" x14ac:dyDescent="0.25">
      <c r="A42" s="19" t="s">
        <v>800</v>
      </c>
      <c r="B42" s="18" t="str">
        <f>VLOOKUP($A42,Questions!$A$2:$X$333,2,0)</f>
        <v>Do you authenticate and verify your ML model's feedback?*</v>
      </c>
      <c r="C42" s="21" t="s">
        <v>40</v>
      </c>
      <c r="D42" s="369" t="s">
        <v>2005</v>
      </c>
      <c r="E42" s="167" t="str">
        <f>IF($C$18='Auto Responses'!$J$4,'Auto Responses'!$A$6,IF($C$20='Auto Responses'!$J$4,'Auto Responses'!$A$10,IF($C42='Auto Responses'!$J$3,VLOOKUP($A42,Questions!$A$2:$X$333,17,0)&amp;"",IF($C42='Auto Responses'!$J$4,VLOOKUP($A42,Questions!$A$2:$X$333,16,0)&amp;"",VLOOKUP($A42,Questions!$A$2:$X$333,15,0)&amp;""))))</f>
        <v>Describe the process used to authenticate and verify ML model feedback. Include how you detect and mitigate attempts to introduce model skewing, poisoning, or date/phrase attacks.</v>
      </c>
      <c r="F42" s="201" t="str">
        <f>VLOOKUP($A42,'Institution Evaluation'!$A$56:$F$345,6,0)&amp;""</f>
        <v/>
      </c>
      <c r="I42" s="35"/>
      <c r="J42" s="35"/>
    </row>
    <row r="43" spans="1:10" s="1" customFormat="1" ht="110.4" x14ac:dyDescent="0.25">
      <c r="A43" s="19" t="s">
        <v>801</v>
      </c>
      <c r="B43" s="18" t="str">
        <f>VLOOKUP($A43,Questions!$A$2:$X$333,2,0)</f>
        <v>Is your ML training data vetted, validated, and verified before training the solution's AI model?</v>
      </c>
      <c r="C43" s="21" t="s">
        <v>40</v>
      </c>
      <c r="D43" s="369" t="s">
        <v>2006</v>
      </c>
      <c r="E43" s="167" t="str">
        <f>IF($C$18='Auto Responses'!$J$4,'Auto Responses'!$A$6,IF($C$20='Auto Responses'!$J$4,'Auto Responses'!$A$10,IF($C43='Auto Responses'!$J$3,VLOOKUP($A43,Questions!$A$2:$X$333,17,0)&amp;"",IF($C43='Auto Responses'!$J$4,VLOOKUP($A43,Questions!$A$2:$X$333,16,0)&amp;"",VLOOKUP($A43,Questions!$A$2:$X$333,15,0)&amp;""))))</f>
        <v>Describe how the training data is vetted, validated and verified before the AI model is trained. Include the process along with the AI/ML data policy. Describe your validation of data labelers to validate the accuracy of the data labeling.</v>
      </c>
      <c r="F43" s="201" t="str">
        <f>VLOOKUP($A43,'Institution Evaluation'!$A$56:$F$345,6,0)&amp;""</f>
        <v/>
      </c>
      <c r="I43" s="35"/>
      <c r="J43" s="35"/>
    </row>
    <row r="44" spans="1:10" s="1" customFormat="1" ht="138" x14ac:dyDescent="0.25">
      <c r="A44" s="19" t="s">
        <v>803</v>
      </c>
      <c r="B44" s="18" t="str">
        <f>VLOOKUP($A44,Questions!$A$2:$X$333,2,0)</f>
        <v>Is your ML training data monitored and audited?</v>
      </c>
      <c r="C44" s="21" t="s">
        <v>148</v>
      </c>
      <c r="D44" s="369" t="s">
        <v>2007</v>
      </c>
      <c r="E44" s="167" t="str">
        <f>IF($C$18='Auto Responses'!$J$4,'Auto Responses'!$A$6,IF($C$20='Auto Responses'!$J$4,'Auto Responses'!$A$10,IF($C44='Auto Responses'!$J$3,VLOOKUP($A44,Questions!$A$2:$X$333,17,0)&amp;"",IF($C44='Auto Responses'!$J$4,VLOOKUP($A44,Questions!$A$2:$X$333,16,0)&amp;"",VLOOKUP($A44,Questions!$A$2:$X$333,15,0)&amp;""))))</f>
        <v>Explain why training data is not currently monitored or audited, and describe any alternative safeguards in place or future plans to implement monitoring and auditing.</v>
      </c>
      <c r="F44" s="201" t="str">
        <f>VLOOKUP($A44,'Institution Evaluation'!$A$56:$F$345,6,0)&amp;""</f>
        <v/>
      </c>
      <c r="I44" s="35"/>
      <c r="J44" s="35"/>
    </row>
    <row r="45" spans="1:10" s="1" customFormat="1" ht="110.4" x14ac:dyDescent="0.25">
      <c r="A45" s="19" t="s">
        <v>805</v>
      </c>
      <c r="B45" s="18" t="str">
        <f>VLOOKUP($A45,Questions!$A$2:$X$333,2,0)</f>
        <v>Have you limited access to your ML training data to only staff with an explicit business need?</v>
      </c>
      <c r="C45" s="21" t="s">
        <v>40</v>
      </c>
      <c r="D45" s="369" t="s">
        <v>2008</v>
      </c>
      <c r="E45" s="167" t="str">
        <f>IF($C$18='Auto Responses'!$J$4,'Auto Responses'!$A$6,IF($C$20='Auto Responses'!$J$4,'Auto Responses'!$A$10,IF($C45='Auto Responses'!$J$3,VLOOKUP($A45,Questions!$A$2:$X$333,17,0)&amp;"",IF($C45='Auto Responses'!$J$4,VLOOKUP($A45,Questions!$A$2:$X$333,16,0)&amp;"",VLOOKUP($A45,Questions!$A$2:$X$333,15,0)&amp;""))))</f>
        <v>Include what roles at your organization have the ability to view or modify ML training data.</v>
      </c>
      <c r="F45" s="201" t="str">
        <f>VLOOKUP($A45,'Institution Evaluation'!$A$56:$F$345,6,0)&amp;""</f>
        <v/>
      </c>
      <c r="I45" s="35"/>
      <c r="J45" s="35"/>
    </row>
    <row r="46" spans="1:10" s="1" customFormat="1" ht="409.6" x14ac:dyDescent="0.25">
      <c r="A46" s="19" t="s">
        <v>806</v>
      </c>
      <c r="B46" s="18" t="str">
        <f>VLOOKUP($A46,Questions!$A$2:$X$333,2,0)</f>
        <v>Have you implemented adversarial training or other model defense mechanisms to protect your ML-related features?</v>
      </c>
      <c r="C46" s="21" t="s">
        <v>40</v>
      </c>
      <c r="D46" s="369" t="s">
        <v>2011</v>
      </c>
      <c r="E46" s="167" t="str">
        <f>IF($C$18='Auto Responses'!$J$4,'Auto Responses'!$A$6,IF($C$20='Auto Responses'!$J$4,'Auto Responses'!$A$10,IF($C46='Auto Responses'!$J$3,VLOOKUP($A46,Questions!$A$2:$X$333,17,0)&amp;"",IF($C46='Auto Responses'!$J$4,VLOOKUP($A46,Questions!$A$2:$X$333,16,0)&amp;"",VLOOKUP($A46,Questions!$A$2:$X$333,15,0)&amp;""))))</f>
        <v>Describe the defensive strategies in place to protect ML features and how they are tested for effectiveness.</v>
      </c>
      <c r="F46" s="201" t="str">
        <f>VLOOKUP($A46,'Institution Evaluation'!$A$56:$F$345,6,0)&amp;""</f>
        <v/>
      </c>
      <c r="I46" s="35"/>
      <c r="J46" s="35"/>
    </row>
    <row r="47" spans="1:10" s="1" customFormat="1" ht="156.6" customHeight="1" x14ac:dyDescent="0.25">
      <c r="A47" s="19" t="s">
        <v>807</v>
      </c>
      <c r="B47" s="18" t="str">
        <f>VLOOKUP($A47,Questions!$A$2:$X$333,2,0)</f>
        <v>Do you make your ML model transparent through documentation and log inputs and outputs?</v>
      </c>
      <c r="C47" s="21" t="s">
        <v>40</v>
      </c>
      <c r="D47" s="369" t="s">
        <v>2009</v>
      </c>
      <c r="E47" s="167" t="str">
        <f>IF($C$18='Auto Responses'!$J$4,'Auto Responses'!$A$6,IF($C$20='Auto Responses'!$J$4,'Auto Responses'!$A$10,IF($C47='Auto Responses'!$J$3,VLOOKUP($A47,Questions!$A$2:$X$333,17,0)&amp;"",IF($C47='Auto Responses'!$J$4,VLOOKUP($A47,Questions!$A$2:$X$333,16,0)&amp;"",VLOOKUP($A47,Questions!$A$2:$X$333,15,0)&amp;""))))</f>
        <v>Describe how the model is made transparent through documentation and logging of inputs and outputs. Provide explanations for predictions.</v>
      </c>
      <c r="F47" s="201" t="str">
        <f>VLOOKUP($A47,'Institution Evaluation'!$A$56:$F$345,6,0)&amp;""</f>
        <v/>
      </c>
      <c r="I47" s="35"/>
      <c r="J47" s="35"/>
    </row>
    <row r="48" spans="1:10" s="1" customFormat="1" ht="119.4" customHeight="1" x14ac:dyDescent="0.25">
      <c r="A48" s="19" t="s">
        <v>809</v>
      </c>
      <c r="B48" s="18" t="str">
        <f>VLOOKUP($A48,Questions!$A$2:$X$333,2,0)</f>
        <v>Do you watermark your ML training data?</v>
      </c>
      <c r="C48" s="21" t="s">
        <v>148</v>
      </c>
      <c r="D48" s="369" t="s">
        <v>2010</v>
      </c>
      <c r="E48" s="167" t="str">
        <f>IF($C$18='Auto Responses'!$J$4,'Auto Responses'!$A$6,IF($C$20='Auto Responses'!$J$4,'Auto Responses'!$A$10,IF($C48='Auto Responses'!$J$3,VLOOKUP($A48,Questions!$A$2:$X$333,17,0)&amp;"",IF($C48='Auto Responses'!$J$4,VLOOKUP($A48,Questions!$A$2:$X$333,16,0)&amp;"",VLOOKUP($A48,Questions!$A$2:$X$333,15,0)&amp;""))))</f>
        <v>Explain why training data is not watermarked and any compensating controls or future plans.</v>
      </c>
      <c r="F48" s="201" t="str">
        <f>VLOOKUP($A48,'Institution Evaluation'!$A$56:$F$345,6,0)&amp;""</f>
        <v/>
      </c>
      <c r="G48" s="238" t="s">
        <v>1449</v>
      </c>
      <c r="I48" s="35"/>
      <c r="J48" s="35"/>
    </row>
    <row r="49" spans="1:12" s="1" customFormat="1" ht="37.35" hidden="1" customHeight="1" thickBot="1" x14ac:dyDescent="0.3">
      <c r="A49" s="63" t="str">
        <f>VLOOKUP(LEFT($A50,4),'Auto Responses'!$N$4:$O$38,2,0)&amp;""</f>
        <v xml:space="preserve"> AI Large Language Model (LLM)</v>
      </c>
      <c r="B49" s="22"/>
      <c r="C49" s="13" t="s">
        <v>1497</v>
      </c>
      <c r="D49" s="13" t="s">
        <v>72</v>
      </c>
      <c r="E49" s="31" t="s">
        <v>848</v>
      </c>
      <c r="F49" s="202" t="s">
        <v>849</v>
      </c>
      <c r="I49" s="35"/>
      <c r="J49" s="35"/>
    </row>
    <row r="50" spans="1:12" s="1" customFormat="1" ht="60" hidden="1" customHeight="1" x14ac:dyDescent="0.25">
      <c r="A50" s="19" t="s">
        <v>810</v>
      </c>
      <c r="B50" s="18" t="str">
        <f>VLOOKUP($A50,Questions!$A$2:$X$333,2,0)</f>
        <v>Do you limit your solution's LLM privileges by default?*</v>
      </c>
      <c r="C50" s="21"/>
      <c r="D50" s="313"/>
      <c r="E50" s="167" t="str">
        <f>IF($C$18='Auto Responses'!$J$4,'Auto Responses'!$A$6,IF($C$21='Auto Responses'!$J$4,'Auto Responses'!$A$11,IF($C50='Auto Responses'!$J$3,VLOOKUP($A50,Questions!$A$2:$X$333,17,0)&amp;"",IF($C50='Auto Responses'!$J$4,VLOOKUP($A50,Questions!$A$2:$X$333,16,0)&amp;"",VLOOKUP($A50,Questions!$A$2:$X$333,15,0)&amp;""))))</f>
        <v>Based on the response to AIQU-02, this question does not apply to this product or service.</v>
      </c>
      <c r="F50" s="201" t="str">
        <f>VLOOKUP($A50,'Institution Evaluation'!$A$56:$F$345,6,0)&amp;""</f>
        <v/>
      </c>
      <c r="I50" s="35"/>
      <c r="J50" s="35"/>
    </row>
    <row r="51" spans="1:12" s="1" customFormat="1" ht="102.75" hidden="1" customHeight="1" x14ac:dyDescent="0.25">
      <c r="A51" s="19" t="s">
        <v>811</v>
      </c>
      <c r="B51" s="18" t="str">
        <f>VLOOKUP($A51,Questions!$A$2:$X$333,2,0)</f>
        <v>Is your LLM training data vetted, validated, and verified before training the solution's AI model?*</v>
      </c>
      <c r="C51" s="21"/>
      <c r="D51" s="313"/>
      <c r="E51" s="167" t="str">
        <f>IF($C$18='Auto Responses'!$J$4,'Auto Responses'!$A$6,IF($C$21='Auto Responses'!$J$4,'Auto Responses'!$A$11,IF($C51='Auto Responses'!$J$3,VLOOKUP($A51,Questions!$A$2:$X$333,17,0)&amp;"",IF($C51='Auto Responses'!$J$4,VLOOKUP($A51,Questions!$A$2:$X$333,16,0)&amp;"",VLOOKUP($A51,Questions!$A$2:$X$333,15,0)&amp;""))))</f>
        <v>Based on the response to AIQU-02, this question does not apply to this product or service.</v>
      </c>
      <c r="F51" s="201" t="str">
        <f>VLOOKUP($A51,'Institution Evaluation'!$A$56:$F$345,6,0)&amp;""</f>
        <v/>
      </c>
      <c r="I51" s="35"/>
      <c r="J51" s="35"/>
    </row>
    <row r="52" spans="1:12" s="1" customFormat="1" ht="75.75" hidden="1" customHeight="1" x14ac:dyDescent="0.25">
      <c r="A52" s="19" t="s">
        <v>812</v>
      </c>
      <c r="B52" s="18" t="str">
        <f>VLOOKUP($A52,Questions!$A$2:$X$333,2,0)</f>
        <v>Do any actions taken by your solution's LLM features or plugins require human intervention?*</v>
      </c>
      <c r="C52" s="21"/>
      <c r="D52" s="313"/>
      <c r="E52" s="167" t="str">
        <f>IF($C$18='Auto Responses'!$J$4,'Auto Responses'!$A$6,IF($C$21='Auto Responses'!$J$4,'Auto Responses'!$A$11,IF($C52='Auto Responses'!$J$3,VLOOKUP($A52,Questions!$A$2:$X$333,17,0)&amp;"",IF($C52='Auto Responses'!$J$4,VLOOKUP($A52,Questions!$A$2:$X$333,16,0)&amp;"",VLOOKUP($A52,Questions!$A$2:$X$333,15,0)&amp;""))))</f>
        <v>Based on the response to AIQU-02, this question does not apply to this product or service.</v>
      </c>
      <c r="F52" s="201" t="str">
        <f>VLOOKUP($A52,'Institution Evaluation'!$A$56:$F$345,6,0)&amp;""</f>
        <v/>
      </c>
      <c r="I52" s="35"/>
      <c r="J52" s="35"/>
    </row>
    <row r="53" spans="1:12" s="1" customFormat="1" ht="67.5" hidden="1" customHeight="1" x14ac:dyDescent="0.25">
      <c r="A53" s="19" t="s">
        <v>813</v>
      </c>
      <c r="B53" s="18" t="str">
        <f>VLOOKUP($A53,Questions!$A$2:$X$333,2,0)</f>
        <v>Do you limit multiple LLM model plugins being called as part of a single input?*</v>
      </c>
      <c r="C53" s="21"/>
      <c r="D53" s="313"/>
      <c r="E53" s="167" t="str">
        <f>IF($C$18='Auto Responses'!$J$4,'Auto Responses'!$A$6,IF($C$21='Auto Responses'!$J$4,'Auto Responses'!$A$11,IF($C53='Auto Responses'!$J$3,VLOOKUP($A53,Questions!$A$2:$X$333,17,0)&amp;"",IF($C53='Auto Responses'!$J$4,VLOOKUP($A53,Questions!$A$2:$X$333,16,0)&amp;"",VLOOKUP($A53,Questions!$A$2:$X$333,15,0)&amp;""))))</f>
        <v>Based on the response to AIQU-02, this question does not apply to this product or service.</v>
      </c>
      <c r="F53" s="201" t="str">
        <f>VLOOKUP($A53,'Institution Evaluation'!$A$56:$F$345,6,0)&amp;""</f>
        <v/>
      </c>
      <c r="I53" s="35"/>
      <c r="J53" s="35"/>
    </row>
    <row r="54" spans="1:12" s="1" customFormat="1" ht="49.5" hidden="1" customHeight="1" x14ac:dyDescent="0.25">
      <c r="A54" s="19" t="s">
        <v>814</v>
      </c>
      <c r="B54" s="18" t="str">
        <f>VLOOKUP($A54,Questions!$A$2:$X$333,2,0)</f>
        <v>Do you limit your solution's LLM resource use per request, per step, and per action?</v>
      </c>
      <c r="C54" s="21"/>
      <c r="D54" s="313"/>
      <c r="E54" s="167" t="str">
        <f>IF($C$18='Auto Responses'!$J$4,'Auto Responses'!$A$6,IF($C$21='Auto Responses'!$J$4,'Auto Responses'!$A$11,IF($C54='Auto Responses'!$J$3,VLOOKUP($A54,Questions!$A$2:$X$333,17,0)&amp;"",IF($C54='Auto Responses'!$J$4,VLOOKUP($A54,Questions!$A$2:$X$333,16,0)&amp;"",VLOOKUP($A54,Questions!$A$2:$X$333,15,0)&amp;""))))</f>
        <v>Based on the response to AIQU-02, this question does not apply to this product or service.</v>
      </c>
      <c r="F54" s="201" t="str">
        <f>VLOOKUP($A54,'Institution Evaluation'!$A$56:$F$345,6,0)&amp;""</f>
        <v/>
      </c>
      <c r="I54" s="35"/>
      <c r="J54" s="35"/>
    </row>
    <row r="55" spans="1:12" s="1" customFormat="1" ht="55.5" hidden="1" customHeight="1" x14ac:dyDescent="0.25">
      <c r="A55" s="19" t="s">
        <v>815</v>
      </c>
      <c r="B55" s="18" t="str">
        <f>VLOOKUP($A55,Questions!$A$2:$X$333,2,0)</f>
        <v>Do you leverage LLM model tuning or other model validation mechanisms?</v>
      </c>
      <c r="C55" s="21"/>
      <c r="D55" s="313"/>
      <c r="E55" s="167" t="str">
        <f>IF($C$18='Auto Responses'!$J$4,'Auto Responses'!$A$6,IF($C$21='Auto Responses'!$J$4,'Auto Responses'!$A$11,IF($C55='Auto Responses'!$J$3,VLOOKUP($A55,Questions!$A$2:$X$333,17,0)&amp;"",IF($C55='Auto Responses'!$J$4,VLOOKUP($A55,Questions!$A$2:$X$333,16,0)&amp;"",VLOOKUP($A55,Questions!$A$2:$X$333,15,0)&amp;""))))</f>
        <v>Based on the response to AIQU-02, this question does not apply to this product or service.</v>
      </c>
      <c r="F55" s="201" t="str">
        <f>VLOOKUP($A55,'Institution Evaluation'!$A$56:$F$345,6,0)&amp;""</f>
        <v/>
      </c>
      <c r="G55" s="238" t="s">
        <v>1449</v>
      </c>
      <c r="I55" s="35"/>
      <c r="J55" s="35"/>
    </row>
    <row r="56" spans="1:12" s="1" customFormat="1" ht="33" customHeight="1" x14ac:dyDescent="0.25">
      <c r="A56" s="267" t="s">
        <v>1507</v>
      </c>
      <c r="C56" s="8"/>
      <c r="D56" s="9"/>
      <c r="E56" s="239" t="s">
        <v>1450</v>
      </c>
      <c r="F56" s="199"/>
      <c r="G56" s="199"/>
      <c r="I56" s="35"/>
      <c r="J56" s="35"/>
    </row>
    <row r="57" spans="1:12" s="1" customFormat="1" ht="15" hidden="1" customHeight="1" x14ac:dyDescent="0.25">
      <c r="A57"/>
      <c r="C57" s="8"/>
      <c r="D57" s="9"/>
      <c r="E57" s="10"/>
      <c r="F57" s="199"/>
      <c r="G57" s="199"/>
      <c r="I57" s="35"/>
      <c r="J57" s="35"/>
    </row>
    <row r="58" spans="1:12" ht="15" hidden="1" customHeight="1" x14ac:dyDescent="0.25">
      <c r="A58" s="1"/>
      <c r="B58" s="8"/>
      <c r="C58" s="71"/>
      <c r="D58" s="10"/>
      <c r="E58" s="1"/>
      <c r="F58" s="199"/>
      <c r="G58" s="199"/>
      <c r="H58" s="35"/>
      <c r="I58" s="1"/>
      <c r="J58" s="1"/>
      <c r="L58"/>
    </row>
    <row r="59" spans="1:12" ht="0" hidden="1" customHeight="1" x14ac:dyDescent="0.25">
      <c r="A59" s="19" t="e">
        <f>#REF!</f>
        <v>#REF!</v>
      </c>
    </row>
    <row r="60" spans="1:12" ht="0" hidden="1" customHeight="1" x14ac:dyDescent="0.25">
      <c r="A60" s="19" t="e">
        <f>#REF!</f>
        <v>#REF!</v>
      </c>
    </row>
    <row r="61" spans="1:12" ht="0" hidden="1" customHeight="1" x14ac:dyDescent="0.25">
      <c r="A61" s="19" t="e">
        <f>#REF!</f>
        <v>#REF!</v>
      </c>
    </row>
    <row r="62" spans="1:12" ht="0" hidden="1" customHeight="1" x14ac:dyDescent="0.25">
      <c r="A62" s="19" t="e">
        <f>#REF!</f>
        <v>#REF!</v>
      </c>
    </row>
    <row r="63" spans="1:12" ht="0" hidden="1" customHeight="1" x14ac:dyDescent="0.25">
      <c r="A63" s="19" t="e">
        <f>#REF!</f>
        <v>#REF!</v>
      </c>
    </row>
    <row r="64" spans="1:12" ht="0" hidden="1" customHeight="1" x14ac:dyDescent="0.25">
      <c r="A64" s="19" t="e">
        <f>#REF!</f>
        <v>#REF!</v>
      </c>
    </row>
    <row r="65" spans="1:1" ht="0" hidden="1" customHeight="1" x14ac:dyDescent="0.25">
      <c r="A65" s="19" t="e">
        <f>#REF!</f>
        <v>#REF!</v>
      </c>
    </row>
    <row r="1048576" ht="3" customHeight="1" x14ac:dyDescent="0.25"/>
  </sheetData>
  <dataValidations count="3">
    <dataValidation allowBlank="1" showInputMessage="1" showErrorMessage="1" promptTitle="Warning!" prompt="The HECVAT is built using a number of complex formulas. Editing this cell can break the functionality of the tool. " sqref="C2 A3:A56 C17:D17 C19:D19 E17:F55 C5:F12 D2:F3 B2:B56 C22:D22 C28:D28 C34:D34 C40:D40 C49:D49" xr:uid="{D957C704-29A7-4E2E-96F4-55C2ABCFEFBB}"/>
    <dataValidation allowBlank="1" showInputMessage="1" showErrorMessage="1" prompt="This answer has been populated from the &quot;START HERE&quot; tab and does not need to be re-entered." sqref="C3 C13:C16 C18" xr:uid="{30BA73FE-03A4-4CD8-A769-22A8872A9584}"/>
    <dataValidation allowBlank="1" showInputMessage="1" showErrorMessage="1" prompt="This cell should be left blank. Input your answer in column C." sqref="D26 D38" xr:uid="{8EA972C4-6F3E-47BF-99CE-89C558F52B53}"/>
  </dataValidations>
  <hyperlinks>
    <hyperlink ref="A11" r:id="rId1" display="http://www.educause.edu/HECVAT" xr:uid="{602CAADE-C9DE-4C08-8CEB-79EAE89E27C8}"/>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807CE64-50A3-451A-8C43-A77901C13944}">
          <x14:formula1>
            <xm:f>'Auto Responses'!$J$3:$J$4</xm:f>
          </x14:formula1>
          <xm:sqref>C20:C21 C41:C48 C27 C36:C37 C25 C39 C50:C55 C23 C29:C31 C33</xm:sqref>
        </x14:dataValidation>
        <x14:dataValidation type="list" allowBlank="1" showInputMessage="1" showErrorMessage="1" xr:uid="{C32B3913-2C19-447B-8AE2-A94FD3140428}">
          <x14:formula1>
            <xm:f>'Auto Responses'!$J$3:$J$5</xm:f>
          </x14:formula1>
          <xm:sqref>C24 C32 C35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015A-7AE4-42CD-8DE9-8BFE5E1E3214}">
  <sheetPr>
    <tabColor rgb="FF00636C"/>
  </sheetPr>
  <dimension ref="A1:K117"/>
  <sheetViews>
    <sheetView showGridLines="0" showZeros="0" tabSelected="1" topLeftCell="A49" zoomScale="80" zoomScaleNormal="80" workbookViewId="0">
      <selection activeCell="D19" sqref="D19"/>
    </sheetView>
  </sheetViews>
  <sheetFormatPr defaultColWidth="0" defaultRowHeight="0" customHeight="1" zeroHeight="1" x14ac:dyDescent="0.25"/>
  <cols>
    <col min="1" max="1" width="8.3046875" customWidth="1"/>
    <col min="2" max="2" width="55.07421875" style="1" customWidth="1"/>
    <col min="3" max="3" width="18.921875" style="8" customWidth="1"/>
    <col min="4" max="4" width="55.69140625" style="9" customWidth="1"/>
    <col min="5" max="5" width="32" style="40" customWidth="1"/>
    <col min="6" max="6" width="30.69140625" style="196" customWidth="1"/>
    <col min="7" max="7" width="18.07421875" style="1" customWidth="1"/>
    <col min="8" max="8" width="18.07421875" style="35" hidden="1" customWidth="1"/>
    <col min="9" max="10" width="18.07421875" style="1" hidden="1" customWidth="1"/>
    <col min="11" max="11" width="6.61328125" style="1" hidden="1" customWidth="1"/>
    <col min="12" max="16384" width="6.61328125" hidden="1"/>
  </cols>
  <sheetData>
    <row r="1" spans="1:9" ht="0" hidden="1" customHeight="1" x14ac:dyDescent="0.25">
      <c r="A1" t="s">
        <v>1448</v>
      </c>
    </row>
    <row r="2" spans="1:9" ht="36" customHeight="1" x14ac:dyDescent="0.25">
      <c r="A2" s="168" t="s">
        <v>1381</v>
      </c>
      <c r="B2" s="168"/>
      <c r="C2" s="169"/>
      <c r="D2" s="308"/>
      <c r="E2" s="170"/>
      <c r="F2" s="197" t="str">
        <f>'Auto Responses'!$A$36</f>
        <v>Version 4.1.5</v>
      </c>
    </row>
    <row r="3" spans="1:9" s="1" customFormat="1" ht="29.1" customHeight="1" x14ac:dyDescent="0.25">
      <c r="A3" s="37" t="s">
        <v>940</v>
      </c>
      <c r="B3" s="78"/>
      <c r="C3" s="66">
        <f>'START HERE'!$C$3</f>
        <v>0</v>
      </c>
      <c r="D3" s="309"/>
      <c r="E3" s="36"/>
      <c r="F3" s="50"/>
      <c r="H3" s="35"/>
    </row>
    <row r="4" spans="1:9" s="1" customFormat="1" ht="36" customHeight="1" x14ac:dyDescent="0.25">
      <c r="A4" s="11" t="s">
        <v>865</v>
      </c>
      <c r="B4" s="12"/>
      <c r="C4" s="13"/>
      <c r="D4" s="14"/>
      <c r="E4" s="15"/>
      <c r="F4" s="15"/>
      <c r="H4" s="35"/>
    </row>
    <row r="5" spans="1:9" s="1" customFormat="1" ht="19.5" customHeight="1" x14ac:dyDescent="0.25">
      <c r="A5" s="42" t="str">
        <f>HLOOKUP($A$4,'Auto Responses'!$D$2:$D$8,2,0)&amp;""</f>
        <v>1. Complete the "Start Here" tab and review the "Required Questions" guidance to find the other sections are required for your product or service.</v>
      </c>
      <c r="B5" s="16"/>
      <c r="C5" s="67"/>
      <c r="D5" s="310"/>
      <c r="E5" s="16"/>
      <c r="F5" s="261"/>
      <c r="I5" s="35"/>
    </row>
    <row r="6" spans="1:9" s="1" customFormat="1" ht="19.5" customHeight="1" x14ac:dyDescent="0.25">
      <c r="A6" s="42" t="str">
        <f>HLOOKUP($A$4,'Auto Responses'!$D$2:$D$8,3,0)&amp;""</f>
        <v>2. Complete the "Organization" tab and the applicable questions in each of the next 5 tabs (Product through Privacy) that apply, based on your answers to the "Required Questions."</v>
      </c>
      <c r="B6" s="16"/>
      <c r="C6" s="67"/>
      <c r="D6" s="310"/>
      <c r="E6" s="16"/>
      <c r="F6" s="262"/>
      <c r="I6" s="35"/>
    </row>
    <row r="7" spans="1:9" s="1" customFormat="1" ht="19.5" customHeight="1" x14ac:dyDescent="0.25">
      <c r="A7" s="42" t="str">
        <f>HLOOKUP($A$4,'Auto Responses'!$D$2:$D$8,4,0)&amp;""</f>
        <v xml:space="preserve">3. Guidance in column E may change based on your answers to prompt details in "Additional Information." If leaving an answer blank, you must also state why in "Additional Information". </v>
      </c>
      <c r="B7" s="16"/>
      <c r="C7" s="67"/>
      <c r="D7" s="310"/>
      <c r="E7" s="16"/>
      <c r="F7" s="262"/>
      <c r="I7" s="35"/>
    </row>
    <row r="8" spans="1:9" s="1" customFormat="1" ht="19.5" customHeight="1" x14ac:dyDescent="0.25">
      <c r="A8" s="42" t="str">
        <f>HLOOKUP($A$4,'Auto Responses'!$D$2:$D$8,5,0)&amp;""</f>
        <v>4. DO NOT complete any fields in the "Evaluation" sheets or the "Analyst Notes" column.</v>
      </c>
      <c r="B8" s="16"/>
      <c r="C8" s="67"/>
      <c r="D8" s="310"/>
      <c r="E8" s="16"/>
      <c r="F8" s="262"/>
      <c r="I8" s="35"/>
    </row>
    <row r="9" spans="1:9" s="1" customFormat="1" ht="19.5" customHeight="1" x14ac:dyDescent="0.25">
      <c r="A9" s="42" t="str">
        <f>HLOOKUP($A$4,'Auto Responses'!$D$2:$D$8,6,0)&amp;""</f>
        <v>5. Return the completed file to institutions.</v>
      </c>
      <c r="B9" s="16"/>
      <c r="C9" s="67"/>
      <c r="D9" s="310"/>
      <c r="E9" s="16"/>
      <c r="F9" s="262"/>
      <c r="I9" s="35"/>
    </row>
    <row r="10" spans="1:9" s="1" customFormat="1" ht="19.5" customHeight="1" x14ac:dyDescent="0.25">
      <c r="A10" s="247" t="str">
        <f>HLOOKUP($A$4,'Auto Responses'!$D$2:$D$8,7,0)&amp;""</f>
        <v>* Denotes critical questions. Critical questions are those deemed most important to institutions by higher education volunteers.</v>
      </c>
      <c r="B10" s="16"/>
      <c r="C10" s="67"/>
      <c r="D10" s="310"/>
      <c r="E10" s="16"/>
      <c r="F10" s="262"/>
      <c r="I10" s="35"/>
    </row>
    <row r="11" spans="1:9" s="1" customFormat="1" ht="19.5" customHeight="1" x14ac:dyDescent="0.25">
      <c r="A11" s="246" t="str">
        <f>HLOOKUP($A$4,'Auto Responses'!$D$2:$D$9,8,0)&amp;""</f>
        <v>For full instructions, please visit educause.edu/HECVAT</v>
      </c>
      <c r="B11" s="16"/>
      <c r="C11" s="67"/>
      <c r="D11" s="310"/>
      <c r="E11" s="16"/>
      <c r="F11" s="263"/>
      <c r="I11" s="35"/>
    </row>
    <row r="12" spans="1:9" s="1" customFormat="1" ht="36" customHeight="1" x14ac:dyDescent="0.25">
      <c r="A12" s="63" t="str">
        <f>VLOOKUP(LEFT($A13,4),'Auto Responses'!$N$4:$O$38,2,0)&amp;""</f>
        <v xml:space="preserve"> General Information</v>
      </c>
      <c r="B12" s="12"/>
      <c r="C12" s="13" t="s">
        <v>1497</v>
      </c>
      <c r="D12" s="327"/>
      <c r="E12" s="80"/>
      <c r="F12" s="80"/>
      <c r="H12" s="35"/>
    </row>
    <row r="13" spans="1:9" s="1" customFormat="1" ht="22.35" customHeight="1" x14ac:dyDescent="0.25">
      <c r="A13" s="19" t="s">
        <v>21</v>
      </c>
      <c r="B13" s="79" t="str">
        <f>VLOOKUP($A13,Questions!$A$2:$X$333,2,0)&amp;""</f>
        <v>Solution Provider Name</v>
      </c>
      <c r="C13" s="76" t="str">
        <f>VLOOKUP($A13,'START HERE'!$A$13:$C$21,3,0)&amp;""</f>
        <v>Cursive Technology Inc</v>
      </c>
      <c r="D13" s="309"/>
      <c r="E13" s="36"/>
      <c r="F13" s="50"/>
      <c r="H13" s="35"/>
    </row>
    <row r="14" spans="1:9" s="1" customFormat="1" ht="22.35" customHeight="1" x14ac:dyDescent="0.25">
      <c r="A14" s="19" t="s">
        <v>24</v>
      </c>
      <c r="B14" s="79" t="str">
        <f>VLOOKUP($A14,Questions!$A$2:$X$333,2,0)&amp;""</f>
        <v>Solution Name</v>
      </c>
      <c r="C14" s="76" t="str">
        <f>VLOOKUP($A14,'START HERE'!$A$13:$C$21,3,0)&amp;""</f>
        <v>TypeID</v>
      </c>
      <c r="D14" s="309"/>
      <c r="E14" s="36"/>
      <c r="F14" s="50"/>
      <c r="H14" s="35"/>
    </row>
    <row r="15" spans="1:9" s="1" customFormat="1" ht="22.35" customHeight="1" x14ac:dyDescent="0.25">
      <c r="A15" s="19" t="s">
        <v>25</v>
      </c>
      <c r="B15" s="79" t="str">
        <f>VLOOKUP($A15,Questions!$A$2:$X$333,2,0)&amp;""</f>
        <v>Solution Description</v>
      </c>
      <c r="C15" s="76" t="str">
        <f>VLOOKUP($A15,'START HERE'!$A$13:$C$21,3,0)&amp;""</f>
        <v>Continuous authorship verification and writing analytics using typing biometrics. Native Moodle plugin, browser extension for any LMS, WordPress-based authorship report and verification system.</v>
      </c>
      <c r="D15" s="309"/>
      <c r="E15" s="36"/>
      <c r="F15" s="50"/>
      <c r="H15" s="35"/>
    </row>
    <row r="16" spans="1:9" s="1" customFormat="1" ht="22.35" customHeight="1" x14ac:dyDescent="0.25">
      <c r="A16" s="19" t="s">
        <v>30</v>
      </c>
      <c r="B16" s="79" t="str">
        <f>VLOOKUP($A16,Questions!$A$2:$X$333,2,0)&amp;""</f>
        <v>Country of Company Headquarters</v>
      </c>
      <c r="C16" s="76" t="str">
        <f>VLOOKUP($A16,'START HERE'!$A$13:$C$21,3,0)&amp;""</f>
        <v>USA</v>
      </c>
      <c r="D16" s="309"/>
      <c r="E16" s="36"/>
      <c r="F16" s="50"/>
      <c r="H16" s="35"/>
    </row>
    <row r="17" spans="1:8" s="1" customFormat="1" ht="22.35" customHeight="1" x14ac:dyDescent="0.25">
      <c r="A17" s="19" t="s">
        <v>32</v>
      </c>
      <c r="B17" s="79" t="str">
        <f>VLOOKUP($A17,Questions!$A$2:$X$333,2,0)&amp;""</f>
        <v>Employee Work Locations (all)</v>
      </c>
      <c r="C17" s="76" t="str">
        <f>VLOOKUP($A17,'START HERE'!$A$13:$C$21,3,0)&amp;""</f>
        <v>Baltimore MD</v>
      </c>
      <c r="D17" s="309"/>
      <c r="E17" s="36"/>
      <c r="F17" s="50"/>
      <c r="H17" s="35"/>
    </row>
    <row r="18" spans="1:8" s="1" customFormat="1" ht="37.35" customHeight="1" thickBot="1" x14ac:dyDescent="0.3">
      <c r="A18" s="63" t="str">
        <f>VLOOKUP(LEFT($A19,4),'Auto Responses'!$N$4:$O$38,2,0)&amp;""</f>
        <v xml:space="preserve"> Required Questions</v>
      </c>
      <c r="B18" s="22"/>
      <c r="C18" s="13" t="s">
        <v>1497</v>
      </c>
      <c r="D18" s="13" t="s">
        <v>72</v>
      </c>
      <c r="E18" s="31" t="s">
        <v>848</v>
      </c>
      <c r="F18" s="203" t="s">
        <v>849</v>
      </c>
      <c r="H18" s="35"/>
    </row>
    <row r="19" spans="1:8" s="1" customFormat="1" ht="38.25" customHeight="1" x14ac:dyDescent="0.25">
      <c r="A19" s="19" t="s">
        <v>58</v>
      </c>
      <c r="B19" s="18" t="str">
        <f>VLOOKUP($A19,Questions!$A$2:$X$333,2,0)</f>
        <v>Does your solution have AI features, or are there plans to implement AI features in the next 12 months?</v>
      </c>
      <c r="C19" s="72" t="str">
        <f>VLOOKUP($A19,'START HERE'!$A$23:$F$36,3,0)&amp;""</f>
        <v>Yes</v>
      </c>
      <c r="D19" s="312" t="str">
        <f>VLOOKUP($A19,'START HERE'!$A$23:$F$36,4,0)&amp;""</f>
        <v>We leverage two proprietary machine learning models, keyread and copy-behavior.</v>
      </c>
      <c r="E19" s="167" t="str">
        <f>IF($C19='Auto Responses'!$J$3,VLOOKUP($A19,Questions!$A$2:$X$333,17,0)&amp;"",IF($C19='Auto Responses'!$J$4,VLOOKUP($A19,Questions!$A$2:$X$333,16,0)&amp;"",VLOOKUP($A19,Questions!$A$2:$X$333,15,0)&amp;""))</f>
        <v>DO complete the Artificial Intelligence (AI) worksheet</v>
      </c>
      <c r="F19" s="204" t="str">
        <f>VLOOKUP($A19,'START HERE'!$A$23:$F$36,6,0)&amp;""</f>
        <v/>
      </c>
      <c r="H19" s="35"/>
    </row>
    <row r="20" spans="1:8" s="1" customFormat="1" ht="50.25" customHeight="1" x14ac:dyDescent="0.25">
      <c r="A20" s="19" t="s">
        <v>61</v>
      </c>
      <c r="B20" s="18" t="str">
        <f>VLOOKUP($A20,Questions!$A$2:$X$333,2,0)</f>
        <v>Does your solution process protected health information (PHI) or any data covered by the Health Insurance Portability and Accountability Act (HIPAA)?</v>
      </c>
      <c r="C20" s="72" t="str">
        <f>VLOOKUP($A20,'START HERE'!$A$23:$F$36,3,0)&amp;""</f>
        <v>No</v>
      </c>
      <c r="D20" s="312" t="str">
        <f>VLOOKUP($A20,'START HERE'!$A$23:$F$36,4,0)&amp;""</f>
        <v/>
      </c>
      <c r="E20" s="167" t="str">
        <f>IF($C20='Auto Responses'!$J$3,VLOOKUP($A20,Questions!$A$2:$X$333,17,0)&amp;"",IF($C20='Auto Responses'!$J$4,VLOOKUP($A20,Questions!$A$2:$X$333,16,0)&amp;"",VLOOKUP($A20,Questions!$A$2:$X$333,15,0)&amp;""))</f>
        <v>DO NOT complete the HIPAA section in the Case-Specific worksheet</v>
      </c>
      <c r="F20" s="204" t="str">
        <f>VLOOKUP($A20,'START HERE'!$A$23:$F$36,6,0)&amp;""</f>
        <v/>
      </c>
      <c r="H20" s="35"/>
    </row>
    <row r="21" spans="1:8" s="1" customFormat="1" ht="56.25" customHeight="1" x14ac:dyDescent="0.25">
      <c r="A21" s="19" t="s">
        <v>64</v>
      </c>
      <c r="B21" s="18" t="str">
        <f>VLOOKUP($A21,Questions!$A$2:$X$333,2,0)</f>
        <v>Is the solution designed to process, store, or transmit credit card information?</v>
      </c>
      <c r="C21" s="72" t="str">
        <f>VLOOKUP($A21,'START HERE'!$A$23:$F$36,3,0)&amp;""</f>
        <v>No</v>
      </c>
      <c r="D21" s="312" t="str">
        <f>VLOOKUP($A21,'START HERE'!$A$23:$F$36,4,0)&amp;""</f>
        <v/>
      </c>
      <c r="E21" s="167" t="str">
        <f>IF($C21='Auto Responses'!$J$3,VLOOKUP($A21,Questions!$A$2:$X$333,17,0)&amp;"",IF($C21='Auto Responses'!$J$4,VLOOKUP($A21,Questions!$A$2:$X$333,16,0)&amp;"",VLOOKUP($A21,Questions!$A$2:$X$333,15,0)&amp;""))</f>
        <v>DO NOT complete the PCI-DSS section in the Case-Specific worksheet</v>
      </c>
      <c r="F21" s="204" t="str">
        <f>VLOOKUP($A21,'START HERE'!$A$23:$F$36,6,0)&amp;""</f>
        <v/>
      </c>
      <c r="H21" s="35"/>
    </row>
    <row r="22" spans="1:8" s="1" customFormat="1" ht="56.25" customHeight="1" thickBot="1" x14ac:dyDescent="0.3">
      <c r="A22" s="19" t="s">
        <v>968</v>
      </c>
      <c r="B22" s="18" t="str">
        <f>VLOOKUP($A22,Questions!$A$2:$X$333,2,0)</f>
        <v>Does your solution have access to personal or institutional data?</v>
      </c>
      <c r="C22" s="72" t="str">
        <f>VLOOKUP($A22,'START HERE'!$A$23:$F$36,3,0)&amp;""</f>
        <v>Yes</v>
      </c>
      <c r="D22" s="312" t="str">
        <f>VLOOKUP($A22,'START HERE'!$A$23:$F$36,4,0)&amp;""</f>
        <v xml:space="preserve">Institutionally collected data is relayed to our API for processing, this is the minimum data required for Cursive to perform it's contractual service: verification of authorship, and transparency in text creation. </v>
      </c>
      <c r="E22" s="167" t="str">
        <f>IF($C22='Auto Responses'!$J$3,VLOOKUP($A22,Questions!$A$2:$X$333,17,0)&amp;"",IF($C22='Auto Responses'!$J$4,VLOOKUP($A22,Questions!$A$2:$X$333,16,0)&amp;"",VLOOKUP($A22,Questions!$A$2:$X$333,15,0)&amp;""))</f>
        <v>DO complete the Privacy tab</v>
      </c>
      <c r="F22" s="204" t="str">
        <f>VLOOKUP($A22,'START HERE'!$A$23:$F$36,6,0)&amp;""</f>
        <v/>
      </c>
      <c r="G22" s="238" t="s">
        <v>1449</v>
      </c>
      <c r="H22" s="35"/>
    </row>
    <row r="23" spans="1:8" s="1" customFormat="1" ht="37.35" customHeight="1" thickBot="1" x14ac:dyDescent="0.3">
      <c r="A23" s="63" t="str">
        <f>VLOOKUP(LEFT($A24,4),'Auto Responses'!$N$4:$O$38,2,0)&amp;""</f>
        <v xml:space="preserve"> General Privacy</v>
      </c>
      <c r="B23" s="22"/>
      <c r="C23" s="13" t="s">
        <v>1497</v>
      </c>
      <c r="D23" s="13" t="s">
        <v>72</v>
      </c>
      <c r="E23" s="31" t="s">
        <v>848</v>
      </c>
      <c r="F23" s="202" t="s">
        <v>849</v>
      </c>
      <c r="H23" s="35"/>
    </row>
    <row r="24" spans="1:8" s="1" customFormat="1" ht="55.2" x14ac:dyDescent="0.25">
      <c r="A24" s="19" t="s">
        <v>857</v>
      </c>
      <c r="B24" s="18" t="str">
        <f>VLOOKUP($A24,Questions!$A$2:$X$333,2,0)</f>
        <v>Does your solution process FERPA-related data?</v>
      </c>
      <c r="C24" s="21" t="s">
        <v>40</v>
      </c>
      <c r="D24" s="326" t="s">
        <v>1937</v>
      </c>
      <c r="E24" s="167" t="str">
        <f>IF($C24='Auto Responses'!$J$3,VLOOKUP($A24,Questions!$A$2:$X$333,17,0)&amp;"",IF($C24='Auto Responses'!$J$4,VLOOKUP($A24,Questions!$A$2:$X$333,16,0)&amp;"",VLOOKUP($A24,Questions!$A$2:$X$333,15,0)&amp;""))</f>
        <v>Provide documentation on the types of FERPA data you process and for what purpose, including data unrelated to service delivery such as marketing.</v>
      </c>
      <c r="F24" s="204" t="str">
        <f>VLOOKUP($A24,'Privacy Analyst Evaluation'!$A$46:$F$120,6,0)&amp;""</f>
        <v/>
      </c>
      <c r="H24" s="35"/>
    </row>
    <row r="25" spans="1:8" s="1" customFormat="1" ht="41.4" x14ac:dyDescent="0.25">
      <c r="A25" s="19" t="s">
        <v>858</v>
      </c>
      <c r="B25" s="18" t="str">
        <f>VLOOKUP($A25,Questions!$A$2:$X$333,2,0)</f>
        <v>Does your solution process GDPR-related or PIPL-related data?</v>
      </c>
      <c r="C25" s="21" t="s">
        <v>40</v>
      </c>
      <c r="D25" s="326" t="s">
        <v>1936</v>
      </c>
      <c r="E25" s="167" t="str">
        <f>IF($C25='Auto Responses'!$J$3,VLOOKUP($A25,Questions!$A$2:$X$333,17,0)&amp;"",IF($C25='Auto Responses'!$J$4,VLOOKUP($A25,Questions!$A$2:$X$333,16,0)&amp;"",VLOOKUP($A25,Questions!$A$2:$X$333,15,0)&amp;""))</f>
        <v>Provide documentation of any processes or policies that address compliance with GDPR and/or PIPL as appropriate.</v>
      </c>
      <c r="F25" s="204" t="str">
        <f>VLOOKUP($A25,'Privacy Analyst Evaluation'!$A$46:$F$120,6,0)&amp;""</f>
        <v/>
      </c>
      <c r="H25" s="35"/>
    </row>
    <row r="26" spans="1:8" s="1" customFormat="1" ht="35.25" customHeight="1" x14ac:dyDescent="0.25">
      <c r="A26" s="19" t="s">
        <v>859</v>
      </c>
      <c r="B26" s="18" t="str">
        <f>VLOOKUP($A26,Questions!$A$2:$X$333,2,0)</f>
        <v>Does your solution process personal data regulated by state law(s) (e.g., CCPA)?</v>
      </c>
      <c r="C26" s="21" t="s">
        <v>40</v>
      </c>
      <c r="D26" s="326" t="s">
        <v>1936</v>
      </c>
      <c r="E26" s="167" t="str">
        <f>IF($C26='Auto Responses'!$J$3,VLOOKUP($A26,Questions!$A$2:$X$333,17,0)&amp;"",IF($C26='Auto Responses'!$J$4,VLOOKUP($A26,Questions!$A$2:$X$333,16,0)&amp;"",VLOOKUP($A26,Questions!$A$2:$X$333,15,0)&amp;""))</f>
        <v>Provide documentation of any processes or policies that address compliance with applicable state laws.</v>
      </c>
      <c r="F26" s="204" t="str">
        <f>VLOOKUP($A26,'Privacy Analyst Evaluation'!$A$46:$F$120,6,0)&amp;""</f>
        <v/>
      </c>
      <c r="H26" s="35"/>
    </row>
    <row r="27" spans="1:8" s="1" customFormat="1" ht="39" customHeight="1" x14ac:dyDescent="0.25">
      <c r="A27" s="19" t="s">
        <v>860</v>
      </c>
      <c r="B27" s="18" t="str">
        <f>VLOOKUP($A27,Questions!$A$2:$X$333,2,0)</f>
        <v>Does your solution process user-provided data that may contain regulated information?</v>
      </c>
      <c r="C27" s="21" t="s">
        <v>40</v>
      </c>
      <c r="D27" s="326" t="s">
        <v>1935</v>
      </c>
      <c r="E27" s="167" t="str">
        <f>IF($C27='Auto Responses'!$J$3,VLOOKUP($A27,Questions!$A$2:$X$333,17,0)&amp;"",IF($C27='Auto Responses'!$J$4,VLOOKUP($A27,Questions!$A$2:$X$333,16,0)&amp;"",VLOOKUP($A27,Questions!$A$2:$X$333,15,0)&amp;""))</f>
        <v>Identify any applicable regulations and provide documentation of any processes or policies that address compliance with each.</v>
      </c>
      <c r="F27" s="204" t="str">
        <f>VLOOKUP($A27,'Privacy Analyst Evaluation'!$A$46:$F$120,6,0)&amp;""</f>
        <v/>
      </c>
      <c r="H27" s="35"/>
    </row>
    <row r="28" spans="1:8" s="1" customFormat="1" ht="27.75" customHeight="1" thickBot="1" x14ac:dyDescent="0.3">
      <c r="A28" s="19" t="s">
        <v>861</v>
      </c>
      <c r="B28" s="18" t="str">
        <f>VLOOKUP($A28,Questions!$A$2:$X$333,2,0)</f>
        <v>Web Link to Product/Service Privacy Notice</v>
      </c>
      <c r="C28" s="76" t="s">
        <v>1927</v>
      </c>
      <c r="D28" s="320"/>
      <c r="E28" s="167" t="str">
        <f>IF($C28='Auto Responses'!$J$3,VLOOKUP($A28,Questions!$A$2:$X$333,17,0)&amp;"",IF($C28='Auto Responses'!$J$4,VLOOKUP($A28,Questions!$A$2:$X$333,16,0)&amp;"",VLOOKUP($A28,Questions!$A$2:$X$333,15,0)&amp;""))</f>
        <v>If multiple notices are implicated, provide all that apply. If any other documents are incorporated by reference, provide them as well.</v>
      </c>
      <c r="F28" s="204" t="str">
        <f>VLOOKUP($A28,'Privacy Analyst Evaluation'!$A$46:$F$120,6,0)&amp;""</f>
        <v/>
      </c>
      <c r="G28" s="238" t="s">
        <v>1449</v>
      </c>
      <c r="H28" s="35"/>
    </row>
    <row r="29" spans="1:8" s="1" customFormat="1" ht="37.35" customHeight="1" thickBot="1" x14ac:dyDescent="0.3">
      <c r="A29" s="63" t="str">
        <f>VLOOKUP(LEFT($A30,4),'Auto Responses'!$N$4:$O$38,2,0)&amp;""</f>
        <v xml:space="preserve"> Privacy-Specific Company Details</v>
      </c>
      <c r="B29" s="22"/>
      <c r="C29" s="13" t="s">
        <v>1497</v>
      </c>
      <c r="D29" s="13" t="s">
        <v>72</v>
      </c>
      <c r="E29" s="31" t="s">
        <v>848</v>
      </c>
      <c r="F29" s="202" t="s">
        <v>849</v>
      </c>
      <c r="H29" s="35"/>
    </row>
    <row r="30" spans="1:8" s="1" customFormat="1" ht="78" customHeight="1" x14ac:dyDescent="0.25">
      <c r="A30" s="19" t="s">
        <v>697</v>
      </c>
      <c r="B30" s="18" t="str">
        <f>VLOOKUP($A30,Questions!$A$2:$X$333,2,0)</f>
        <v>Have you had a personal data breach in the past three years that involved reporting to a governmental agency, notice to individuals (including voluntary notice), or notice to another organization or institution?*</v>
      </c>
      <c r="C30" s="21" t="s">
        <v>148</v>
      </c>
      <c r="D30" s="326" t="s">
        <v>2000</v>
      </c>
      <c r="E30" s="167" t="str">
        <f>IF($C30='Auto Responses'!$J$3,VLOOKUP($A30,Questions!$A$2:$X$333,17,0)&amp;"",IF($C30='Auto Responses'!$J$4,VLOOKUP($A30,Questions!$A$2:$X$333,16,0)&amp;"",VLOOKUP($A30,Questions!$A$2:$X$333,15,0)&amp;""))</f>
        <v/>
      </c>
      <c r="F30" s="204" t="str">
        <f>VLOOKUP($A30,'Privacy Analyst Evaluation'!$A$46:$F$120,6,0)&amp;""</f>
        <v/>
      </c>
      <c r="H30" s="35"/>
    </row>
    <row r="31" spans="1:8" s="1" customFormat="1" ht="409.6" x14ac:dyDescent="0.25">
      <c r="A31" s="19" t="s">
        <v>699</v>
      </c>
      <c r="B31" s="18" t="str">
        <f>VLOOKUP($A31,Questions!$A$2:$X$333,2,0)</f>
        <v>Use this area to share information about your privacy practices that will assist those who are assessing your company data privacy program.*</v>
      </c>
      <c r="C31" s="326" t="s">
        <v>2001</v>
      </c>
      <c r="D31" s="320"/>
      <c r="E31" s="167" t="str">
        <f>IF($C31='Auto Responses'!$J$3,VLOOKUP($A31,Questions!$A$2:$X$333,17,0)&amp;"",IF($C31='Auto Responses'!$J$4,VLOOKUP($A31,Questions!$A$2:$X$333,16,0)&amp;"",VLOOKUP($A31,Questions!$A$2:$X$333,15,0)&amp;""))</f>
        <v>Share any additional details that would help data privacy analysts assess your solution.</v>
      </c>
      <c r="F31" s="204" t="str">
        <f>VLOOKUP($A31,'Privacy Analyst Evaluation'!$A$46:$F$120,6,0)&amp;""</f>
        <v/>
      </c>
      <c r="H31" s="35"/>
    </row>
    <row r="32" spans="1:8" s="1" customFormat="1" ht="42.75" customHeight="1" x14ac:dyDescent="0.25">
      <c r="A32" s="19" t="s">
        <v>700</v>
      </c>
      <c r="B32" s="18" t="str">
        <f>VLOOKUP($A32,Questions!$A$2:$X$333,2,0)</f>
        <v>Have you had any violations of your internal privacy policies or violations of applicable privacy law in the past 36 months?</v>
      </c>
      <c r="C32" s="21" t="s">
        <v>148</v>
      </c>
      <c r="D32" s="326" t="s">
        <v>2002</v>
      </c>
      <c r="E32" s="167" t="str">
        <f>IF($C32='Auto Responses'!$J$3,VLOOKUP($A32,Questions!$A$2:$X$333,17,0)&amp;"",IF($C32='Auto Responses'!$J$4,VLOOKUP($A32,Questions!$A$2:$X$333,16,0)&amp;"",VLOOKUP($A32,Questions!$A$2:$X$333,15,0)&amp;""))</f>
        <v/>
      </c>
      <c r="F32" s="204" t="str">
        <f>VLOOKUP($A32,'Privacy Analyst Evaluation'!$A$46:$F$120,6,0)&amp;""</f>
        <v/>
      </c>
      <c r="H32" s="35"/>
    </row>
    <row r="33" spans="1:8" s="1" customFormat="1" ht="97.2" thickBot="1" x14ac:dyDescent="0.3">
      <c r="A33" s="19" t="s">
        <v>701</v>
      </c>
      <c r="B33" s="18" t="str">
        <f>VLOOKUP($A33,Questions!$A$2:$X$333,2,0)</f>
        <v>Do you have a dedicated data privacy staff or office?</v>
      </c>
      <c r="C33" s="21" t="s">
        <v>148</v>
      </c>
      <c r="D33" s="326" t="s">
        <v>2003</v>
      </c>
      <c r="E33" s="167" t="str">
        <f>IF($C33='Auto Responses'!$J$3,VLOOKUP($A33,Questions!$A$2:$X$333,17,0)&amp;"",IF($C33='Auto Responses'!$J$4,VLOOKUP($A33,Questions!$A$2:$X$333,16,0)&amp;"",VLOOKUP($A33,Questions!$A$2:$X$333,15,0)&amp;""))</f>
        <v>Describe who is responsible for data privacy, including department, size, talents, resources, etc.</v>
      </c>
      <c r="F33" s="204" t="str">
        <f>VLOOKUP($A33,'Privacy Analyst Evaluation'!$A$46:$F$120,6,0)&amp;""</f>
        <v/>
      </c>
      <c r="G33" s="238" t="s">
        <v>1449</v>
      </c>
      <c r="H33" s="35"/>
    </row>
    <row r="34" spans="1:8" s="1" customFormat="1" ht="37.35" customHeight="1" thickBot="1" x14ac:dyDescent="0.3">
      <c r="A34" s="63" t="str">
        <f>VLOOKUP(LEFT($A35,4),'Auto Responses'!$N$4:$O$38,2,0)&amp;""</f>
        <v xml:space="preserve"> Privacy-Specific Documentation</v>
      </c>
      <c r="B34" s="22"/>
      <c r="C34" s="13" t="s">
        <v>1497</v>
      </c>
      <c r="D34" s="13" t="s">
        <v>72</v>
      </c>
      <c r="E34" s="31" t="s">
        <v>848</v>
      </c>
      <c r="F34" s="202" t="s">
        <v>849</v>
      </c>
      <c r="H34" s="35"/>
    </row>
    <row r="35" spans="1:8" s="1" customFormat="1" ht="99.75" customHeight="1" x14ac:dyDescent="0.25">
      <c r="A35" s="19" t="s">
        <v>702</v>
      </c>
      <c r="B35" s="18" t="str">
        <f>VLOOKUP($A35,Questions!$A$2:$X$333,2,0)</f>
        <v>If you have completed a SOC 2 audit, does it include the Privacy Trust Service Principle?</v>
      </c>
      <c r="C35" s="21" t="s">
        <v>1527</v>
      </c>
      <c r="D35" s="326" t="s">
        <v>1999</v>
      </c>
      <c r="E35" s="167" t="str">
        <f>IF($C35='Auto Responses'!$J$3,VLOOKUP($A35,Questions!$A$2:$X$333,17,0)&amp;"",IF($C35='Auto Responses'!$J$4,VLOOKUP($A35,Questions!$A$2:$X$333,16,0)&amp;"",IF($C35='Auto Responses'!$J$5,VLOOKUP($A35,Questions!$A$2:$X$333,18,0)&amp;"",VLOOKUP($A35,Questions!$A$2:$X$333,15,0)&amp;"")))</f>
        <v>Please explain why this does not apply to your organization, product or service.</v>
      </c>
      <c r="F35" s="204" t="str">
        <f>VLOOKUP($A35,'Privacy Analyst Evaluation'!$A$46:$F$120,6,0)&amp;""</f>
        <v/>
      </c>
      <c r="H35" s="35"/>
    </row>
    <row r="36" spans="1:8" s="1" customFormat="1" ht="69" x14ac:dyDescent="0.25">
      <c r="A36" s="19" t="s">
        <v>703</v>
      </c>
      <c r="B36" s="18" t="str">
        <f>VLOOKUP($A36,Questions!$A$2:$X$333,2,0)</f>
        <v>Do you conform with a specific industry-standard privacy framework (e.g., NIST Privacy Framework, GDPR, ISO 27701)?</v>
      </c>
      <c r="C36" s="21" t="s">
        <v>148</v>
      </c>
      <c r="D36" s="326" t="s">
        <v>1925</v>
      </c>
      <c r="E36" s="167" t="str">
        <f>IF($C36='Auto Responses'!$J$3,VLOOKUP($A36,Questions!$A$2:$X$333,17,0)&amp;"",IF($C36='Auto Responses'!$J$4,VLOOKUP($A36,Questions!$A$2:$X$333,16,0)&amp;"",VLOOKUP($A36,Questions!$A$2:$X$333,15,0)&amp;""))</f>
        <v>Please provide any plans to conform with one or more of the industry-standard frameworks, including anticipated timelines, and indicate which framework(s) will be used.</v>
      </c>
      <c r="F36" s="204" t="str">
        <f>VLOOKUP($A36,'Privacy Analyst Evaluation'!$A$46:$F$120,6,0)&amp;""</f>
        <v/>
      </c>
      <c r="H36" s="35"/>
    </row>
    <row r="37" spans="1:8" s="1" customFormat="1" ht="40.5" customHeight="1" thickBot="1" x14ac:dyDescent="0.3">
      <c r="A37" s="19" t="s">
        <v>704</v>
      </c>
      <c r="B37" s="18" t="str">
        <f>VLOOKUP($A37,Questions!$A$2:$X$333,2,0)</f>
        <v>Does your employee onboarding and offboarding policy include training of employees on information security and data privacy?</v>
      </c>
      <c r="C37" s="21" t="s">
        <v>40</v>
      </c>
      <c r="D37" s="326" t="s">
        <v>1930</v>
      </c>
      <c r="E37" s="167" t="str">
        <f>IF($C37='Auto Responses'!$J$3,VLOOKUP($A37,Questions!$A$2:$X$333,17,0)&amp;"",IF($C37='Auto Responses'!$J$4,VLOOKUP($A37,Questions!$A$2:$X$333,16,0)&amp;"",VLOOKUP($A37,Questions!$A$2:$X$333,15,0)&amp;""))</f>
        <v>Provide an overview of your organization's relevant onboarding/offboarding policy and employee training on information security and privacy.</v>
      </c>
      <c r="F37" s="204" t="str">
        <f>VLOOKUP($A37,'Privacy Analyst Evaluation'!$A$46:$F$120,6,0)&amp;""</f>
        <v/>
      </c>
      <c r="G37" s="238" t="s">
        <v>1449</v>
      </c>
      <c r="H37" s="35"/>
    </row>
    <row r="38" spans="1:8" s="1" customFormat="1" ht="37.35" customHeight="1" thickBot="1" x14ac:dyDescent="0.3">
      <c r="A38" s="63" t="str">
        <f>VLOOKUP(LEFT($A39,4),'Auto Responses'!$N$4:$O$38,2,0)&amp;""</f>
        <v xml:space="preserve"> Privacy of Third Parties</v>
      </c>
      <c r="B38" s="22"/>
      <c r="C38" s="13" t="s">
        <v>1497</v>
      </c>
      <c r="D38" s="13" t="s">
        <v>72</v>
      </c>
      <c r="E38" s="31" t="s">
        <v>848</v>
      </c>
      <c r="F38" s="202" t="s">
        <v>849</v>
      </c>
      <c r="H38" s="35"/>
    </row>
    <row r="39" spans="1:8" s="1" customFormat="1" ht="179.4" x14ac:dyDescent="0.25">
      <c r="A39" s="19" t="s">
        <v>706</v>
      </c>
      <c r="B39" s="18" t="str">
        <f>VLOOKUP($A39,Questions!$A$2:$X$333,2,0)</f>
        <v>Do you have contractual agreements with third parties that require them to maintain standards and to comply with all regulatory requirements?*</v>
      </c>
      <c r="C39" s="21" t="s">
        <v>40</v>
      </c>
      <c r="D39" s="326" t="s">
        <v>1997</v>
      </c>
      <c r="E39" s="167" t="str">
        <f>IF($C39='Auto Responses'!$J$3,VLOOKUP($A39,Questions!$A$2:$X$333,17,0)&amp;"",IF($C39='Auto Responses'!$J$4,VLOOKUP($A39,Questions!$A$2:$X$333,16,0)&amp;"",IF($C39='Auto Responses'!$J$5,VLOOKUP($A39,Questions!$A$2:$X$333,18,0)&amp;"",VLOOKUP($A39,Questions!$A$2:$X$333,15,0)&amp;"")))</f>
        <v>Provide a summary of the contractual language used and your processes for ensuring appropriate language is regularly reviewed and is included in both new and renewed agreements.</v>
      </c>
      <c r="F39" s="204" t="str">
        <f>VLOOKUP($A39,'Privacy Analyst Evaluation'!$A$46:$F$120,6,0)&amp;""</f>
        <v/>
      </c>
      <c r="H39" s="35"/>
    </row>
    <row r="40" spans="1:8" s="1" customFormat="1" ht="193.8" thickBot="1" x14ac:dyDescent="0.3">
      <c r="A40" s="19" t="s">
        <v>708</v>
      </c>
      <c r="B40" s="18" t="str">
        <f>VLOOKUP($A40,Questions!$A$2:$X$333,2,0)</f>
        <v>Do you perform privacy impact assessments of third parties that collect, process, or have access to personal data to ensure they meet industry and regulatory standards and to mitigate harmful, unethical, or discriminatory impacts on data subjects?</v>
      </c>
      <c r="C40" s="21" t="s">
        <v>148</v>
      </c>
      <c r="D40" s="326" t="s">
        <v>1998</v>
      </c>
      <c r="E40" s="167" t="str">
        <f>IF($C40='Auto Responses'!$J$3,VLOOKUP($A40,Questions!$A$2:$X$333,17,0)&amp;"",IF($C40='Auto Responses'!$J$4,VLOOKUP($A40,Questions!$A$2:$X$333,16,0)&amp;"",IF($C40='Auto Responses'!$J$5,VLOOKUP($A40,Questions!$A$2:$X$333,18,0)&amp;"",VLOOKUP($A40,Questions!$A$2:$X$333,15,0)&amp;"")))</f>
        <v>State your plans to perform data privacy assessments of third parties, including anticipated timelines and remediations if existing third parties cannot maintain or ensure privacy and security of client data entrusted to your organization.</v>
      </c>
      <c r="F40" s="204" t="str">
        <f>VLOOKUP($A40,'Privacy Analyst Evaluation'!$A$46:$F$120,6,0)&amp;""</f>
        <v/>
      </c>
      <c r="G40" s="238" t="s">
        <v>1449</v>
      </c>
      <c r="H40" s="35"/>
    </row>
    <row r="41" spans="1:8" s="1" customFormat="1" ht="37.35" customHeight="1" thickBot="1" x14ac:dyDescent="0.3">
      <c r="A41" s="63" t="str">
        <f>VLOOKUP(LEFT($A42,4),'Auto Responses'!$N$4:$O$38,2,0)&amp;""</f>
        <v xml:space="preserve"> Privacy Change Management</v>
      </c>
      <c r="B41" s="22"/>
      <c r="C41" s="13" t="s">
        <v>1497</v>
      </c>
      <c r="D41" s="13" t="s">
        <v>72</v>
      </c>
      <c r="E41" s="31" t="s">
        <v>848</v>
      </c>
      <c r="F41" s="202" t="s">
        <v>849</v>
      </c>
      <c r="H41" s="35"/>
    </row>
    <row r="42" spans="1:8" s="1" customFormat="1" ht="138" x14ac:dyDescent="0.25">
      <c r="A42" s="19" t="s">
        <v>709</v>
      </c>
      <c r="B42" s="18" t="str">
        <f>VLOOKUP($A42,Questions!$A$2:$X$333,2,0)</f>
        <v>Does your change management process include privacy review and approval?</v>
      </c>
      <c r="C42" s="21" t="s">
        <v>40</v>
      </c>
      <c r="D42" s="326" t="s">
        <v>1995</v>
      </c>
      <c r="E42" s="167" t="str">
        <f>IF($C42='Auto Responses'!$J$3,VLOOKUP($A42,Questions!$A$2:$X$333,17,0)&amp;"",IF($C42='Auto Responses'!$J$4,VLOOKUP($A42,Questions!$A$2:$X$333,16,0)&amp;"",VLOOKUP($A42,Questions!$A$2:$X$333,15,0)&amp;""))</f>
        <v>Please describe your process for privacy review.</v>
      </c>
      <c r="F42" s="204" t="str">
        <f>VLOOKUP($A42,'Privacy Analyst Evaluation'!$A$46:$F$120,6,0)&amp;""</f>
        <v/>
      </c>
      <c r="H42" s="35"/>
    </row>
    <row r="43" spans="1:8" s="1" customFormat="1" ht="152.4" thickBot="1" x14ac:dyDescent="0.3">
      <c r="A43" s="19" t="s">
        <v>711</v>
      </c>
      <c r="B43" s="18" t="str">
        <f>VLOOKUP($A43,Questions!$A$2:$X$333,2,0)</f>
        <v>Do you have policy and procedure, currently implemented, guiding how privacy risks are mitigated until they can be resolved?</v>
      </c>
      <c r="C43" s="21" t="s">
        <v>40</v>
      </c>
      <c r="D43" s="326" t="s">
        <v>1996</v>
      </c>
      <c r="E43" s="167" t="str">
        <f>IF($C43='Auto Responses'!$J$3,VLOOKUP($A43,Questions!$A$2:$X$333,17,0)&amp;"",IF($C43='Auto Responses'!$J$4,VLOOKUP($A43,Questions!$A$2:$X$333,16,0)&amp;"",VLOOKUP($A43,Questions!$A$2:$X$333,15,0)&amp;""))</f>
        <v>Please provide an overview of privacy risk mitigation.</v>
      </c>
      <c r="F43" s="204" t="str">
        <f>VLOOKUP($A43,'Privacy Analyst Evaluation'!$A$46:$F$120,6,0)&amp;""</f>
        <v/>
      </c>
      <c r="G43" s="238" t="s">
        <v>1449</v>
      </c>
      <c r="H43" s="35"/>
    </row>
    <row r="44" spans="1:8" s="1" customFormat="1" ht="37.35" customHeight="1" thickBot="1" x14ac:dyDescent="0.3">
      <c r="A44" s="63" t="str">
        <f>VLOOKUP(LEFT($A45,4),'Auto Responses'!$N$4:$O$38,2,0)&amp;""</f>
        <v xml:space="preserve"> Privacy of Sensitive Data</v>
      </c>
      <c r="B44" s="22"/>
      <c r="C44" s="13" t="s">
        <v>1497</v>
      </c>
      <c r="D44" s="13" t="s">
        <v>72</v>
      </c>
      <c r="E44" s="31" t="s">
        <v>848</v>
      </c>
      <c r="F44" s="202" t="s">
        <v>849</v>
      </c>
      <c r="H44" s="35"/>
    </row>
    <row r="45" spans="1:8" s="1" customFormat="1" ht="192.75" customHeight="1" x14ac:dyDescent="0.25">
      <c r="A45" s="19" t="s">
        <v>713</v>
      </c>
      <c r="B45" s="18" t="str">
        <f>VLOOKUP($A45,Questions!$A$2:$X$333,2,0)</f>
        <v>Do you collect, process, or store demographic information?*</v>
      </c>
      <c r="C45" s="21" t="s">
        <v>148</v>
      </c>
      <c r="D45" s="326" t="s">
        <v>1987</v>
      </c>
      <c r="E45" s="167" t="str">
        <f>IF($C45='Auto Responses'!$J$3,VLOOKUP($A45,Questions!$A$2:$X$333,17,0)&amp;"",IF($C45='Auto Responses'!$J$4,VLOOKUP($A45,Questions!$A$2:$X$333,16,0)&amp;"",VLOOKUP($A45,Questions!$A$2:$X$333,15,0)&amp;""))</f>
        <v>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v>
      </c>
      <c r="F45" s="204" t="str">
        <f>VLOOKUP($A45,'Privacy Analyst Evaluation'!$A$46:$F$120,6,0)&amp;""</f>
        <v/>
      </c>
      <c r="H45" s="35"/>
    </row>
    <row r="46" spans="1:8" s="1" customFormat="1" ht="179.4" x14ac:dyDescent="0.25">
      <c r="A46" s="19" t="s">
        <v>715</v>
      </c>
      <c r="B46" s="18" t="str">
        <f>VLOOKUP($A46,Questions!$A$2:$X$333,2,0)</f>
        <v>Do you capture or create genetic, biometric, or behaviometric information (e.g., facial recognition or fingerprints)?*</v>
      </c>
      <c r="C46" s="21" t="s">
        <v>40</v>
      </c>
      <c r="D46" s="326" t="s">
        <v>1988</v>
      </c>
      <c r="E46" s="167" t="str">
        <f>IF($C46='Auto Responses'!$J$3,VLOOKUP($A46,Questions!$A$2:$X$333,17,0)&amp;"",IF($C46='Auto Responses'!$J$4,VLOOKUP($A46,Questions!$A$2:$X$333,16,0)&amp;"",VLOOKUP($A46,Questions!$A$2:$X$333,15,0)&amp;""))</f>
        <v>Briefly summarize your use of such information and the protection thereof.</v>
      </c>
      <c r="F46" s="204" t="str">
        <f>VLOOKUP($A46,'Privacy Analyst Evaluation'!$A$46:$F$120,6,0)&amp;""</f>
        <v/>
      </c>
      <c r="H46" s="35"/>
    </row>
    <row r="47" spans="1:8" s="1" customFormat="1" ht="138" x14ac:dyDescent="0.25">
      <c r="A47" s="19" t="s">
        <v>717</v>
      </c>
      <c r="B47" s="18" t="str">
        <f>VLOOKUP($A47,Questions!$A$2:$X$333,2,0)</f>
        <v>Do you combine institutional data (including "de-identified," "anonymized," or otherwise masked data) with personal data from any other sources?*</v>
      </c>
      <c r="C47" s="21" t="s">
        <v>148</v>
      </c>
      <c r="D47" s="326" t="s">
        <v>1989</v>
      </c>
      <c r="E47" s="167" t="str">
        <f>IF($C47='Auto Responses'!$J$3,VLOOKUP($A47,Questions!$A$2:$X$333,17,0)&amp;"",IF($C47='Auto Responses'!$J$4,VLOOKUP($A47,Questions!$A$2:$X$333,16,0)&amp;"",VLOOKUP($A47,Questions!$A$2:$X$333,15,0)&amp;""))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47" s="204" t="str">
        <f>VLOOKUP($A47,'Privacy Analyst Evaluation'!$A$46:$F$120,6,0)&amp;""</f>
        <v/>
      </c>
      <c r="H47" s="35"/>
    </row>
    <row r="48" spans="1:8" s="1" customFormat="1" ht="165.6" x14ac:dyDescent="0.25">
      <c r="A48" s="19" t="s">
        <v>718</v>
      </c>
      <c r="B48" s="18" t="str">
        <f>VLOOKUP($A48,Questions!$A$2:$X$333,2,0)</f>
        <v>Is institutional data coming into or going out of the United States at any point during collection, processing, storage, or archiving?</v>
      </c>
      <c r="C48" s="21" t="s">
        <v>40</v>
      </c>
      <c r="D48" s="326" t="s">
        <v>1990</v>
      </c>
      <c r="E48" s="167" t="str">
        <f>IF($C48='Auto Responses'!$J$3,VLOOKUP($A48,Questions!$A$2:$X$333,17,0)&amp;"",IF($C48='Auto Responses'!$J$4,VLOOKUP($A48,Questions!$A$2:$X$333,16,0)&amp;"",VLOOKUP($A48,Questions!$A$2:$X$333,15,0)&amp;""))</f>
        <v>Describe where and whether you comply with the laws of that jurisdiction.</v>
      </c>
      <c r="F48" s="204" t="str">
        <f>VLOOKUP($A48,'Privacy Analyst Evaluation'!$A$46:$F$120,6,0)&amp;""</f>
        <v/>
      </c>
      <c r="H48" s="35"/>
    </row>
    <row r="49" spans="1:8" s="1" customFormat="1" ht="124.2" x14ac:dyDescent="0.25">
      <c r="A49" s="19" t="s">
        <v>719</v>
      </c>
      <c r="B49" s="18" t="str">
        <f>VLOOKUP($A49,Questions!$A$2:$X$333,2,0)</f>
        <v>Do you capture device information (e.g., IP address, MAC address)?</v>
      </c>
      <c r="C49" s="21" t="s">
        <v>148</v>
      </c>
      <c r="D49" s="326" t="s">
        <v>1991</v>
      </c>
      <c r="E49" s="167" t="str">
        <f>IF($C49='Auto Responses'!$J$3,VLOOKUP($A49,Questions!$A$2:$X$333,17,0)&amp;"",IF($C49='Auto Responses'!$J$4,VLOOKUP($A49,Questions!$A$2:$X$333,16,0)&amp;"",VLOOKUP($A49,Questions!$A$2:$X$333,15,0)&amp;""))</f>
        <v>Device information can be captured for a variety of reasons, from analytics to marketing to network management and security. It is important to know the details in order to be clear on the privacy implications.</v>
      </c>
      <c r="F49" s="204" t="str">
        <f>VLOOKUP($A49,'Privacy Analyst Evaluation'!$A$46:$F$120,6,0)&amp;""</f>
        <v/>
      </c>
      <c r="H49" s="35"/>
    </row>
    <row r="50" spans="1:8" s="1" customFormat="1" ht="82.8" x14ac:dyDescent="0.25">
      <c r="A50" s="19" t="s">
        <v>720</v>
      </c>
      <c r="B50" s="18" t="str">
        <f>VLOOKUP($A50,Questions!$A$2:$X$333,2,0)</f>
        <v>Does any part of this service/project involve a web/app tracking component (e.g., use of web-tracking pixels, cookies)?</v>
      </c>
      <c r="C50" s="21" t="s">
        <v>148</v>
      </c>
      <c r="D50" s="326" t="s">
        <v>1992</v>
      </c>
      <c r="E50" s="167" t="str">
        <f>IF($C50='Auto Responses'!$J$3,VLOOKUP($A50,Questions!$A$2:$X$333,17,0)&amp;"",IF($C50='Auto Responses'!$J$4,VLOOKUP($A50,Questions!$A$2:$X$333,16,0)&amp;"",VLOOKUP($A50,Questions!$A$2:$X$333,15,0)&amp;""))</f>
        <v>Web tracking can be used to identify users via their IP address, login information, browser information, etc.</v>
      </c>
      <c r="F50" s="204" t="str">
        <f>VLOOKUP($A50,'Privacy Analyst Evaluation'!$A$46:$F$120,6,0)&amp;""</f>
        <v/>
      </c>
      <c r="H50" s="35"/>
    </row>
    <row r="51" spans="1:8" s="1" customFormat="1" ht="147.6" customHeight="1" x14ac:dyDescent="0.25">
      <c r="A51" s="19" t="s">
        <v>721</v>
      </c>
      <c r="B51" s="18" t="str">
        <f>VLOOKUP($A51,Questions!$A$2:$X$333,2,0)</f>
        <v>Does your staff (or a third party) have access to institutional data (e.g., financial, PHI, or other sensitive information) through any means?</v>
      </c>
      <c r="C51" s="21" t="s">
        <v>148</v>
      </c>
      <c r="D51" s="326" t="s">
        <v>1993</v>
      </c>
      <c r="E51" s="167" t="str">
        <f>IF($C51='Auto Responses'!$J$3,VLOOKUP($A51,Questions!$A$2:$X$333,17,0)&amp;"",IF($C51='Auto Responses'!$J$4,VLOOKUP($A51,Questions!$A$2:$X$333,16,0)&amp;"",VLOOKUP($A51,Questions!$A$2:$X$333,15,0)&amp;""))</f>
        <v>Accessing institutional data may be necessary for legitimate business purposes.</v>
      </c>
      <c r="F51" s="204" t="str">
        <f>VLOOKUP($A51,'Privacy Analyst Evaluation'!$A$46:$F$120,6,0)&amp;""</f>
        <v/>
      </c>
      <c r="H51" s="35"/>
    </row>
    <row r="52" spans="1:8" s="1" customFormat="1" ht="97.2" thickBot="1" x14ac:dyDescent="0.3">
      <c r="A52" s="19" t="s">
        <v>723</v>
      </c>
      <c r="B52" s="18" t="str">
        <f>VLOOKUP($A52,Questions!$A$2:$X$333,2,0)</f>
        <v>Will you handle personal data in a manner compliant with all relevant laws, regulations, and applicable institution policies?</v>
      </c>
      <c r="C52" s="21" t="s">
        <v>40</v>
      </c>
      <c r="D52" s="326" t="s">
        <v>1994</v>
      </c>
      <c r="E52" s="167" t="str">
        <f>IF($C52='Auto Responses'!$J$3,VLOOKUP($A52,Questions!$A$2:$X$333,17,0)&amp;"",IF($C52='Auto Responses'!$J$4,VLOOKUP($A52,Questions!$A$2:$X$333,16,0)&amp;"",VLOOKUP($A52,Questions!$A$2:$X$333,15,0)&amp;""))</f>
        <v/>
      </c>
      <c r="F52" s="204" t="str">
        <f>VLOOKUP($A52,'Privacy Analyst Evaluation'!$A$46:$F$120,6,0)&amp;""</f>
        <v/>
      </c>
      <c r="G52" s="238" t="s">
        <v>1449</v>
      </c>
      <c r="H52" s="35"/>
    </row>
    <row r="53" spans="1:8" s="1" customFormat="1" ht="37.35" customHeight="1" thickBot="1" x14ac:dyDescent="0.3">
      <c r="A53" s="63" t="str">
        <f>VLOOKUP(LEFT($A54,4),'Auto Responses'!$N$4:$O$38,2,0)&amp;""</f>
        <v xml:space="preserve"> Privacy Policies and Procedures</v>
      </c>
      <c r="B53" s="22"/>
      <c r="C53" s="13" t="s">
        <v>1497</v>
      </c>
      <c r="D53" s="13" t="s">
        <v>72</v>
      </c>
      <c r="E53" s="31" t="s">
        <v>848</v>
      </c>
      <c r="F53" s="202" t="s">
        <v>849</v>
      </c>
      <c r="H53" s="35"/>
    </row>
    <row r="54" spans="1:8" s="1" customFormat="1" ht="193.2" x14ac:dyDescent="0.25">
      <c r="A54" s="19" t="s">
        <v>724</v>
      </c>
      <c r="B54" s="18" t="str">
        <f>VLOOKUP($A54,Questions!$A$2:$X$333,2,0)</f>
        <v>Do you have a documented privacy management process?</v>
      </c>
      <c r="C54" s="21" t="s">
        <v>40</v>
      </c>
      <c r="D54" s="326" t="s">
        <v>1951</v>
      </c>
      <c r="E54" s="167" t="str">
        <f>IF($C54='Auto Responses'!$J$3,VLOOKUP($A54,Questions!$A$2:$X$333,17,0)&amp;"",IF($C54='Auto Responses'!$J$4,VLOOKUP($A54,Questions!$A$2:$X$333,16,0)&amp;"",VLOOKUP($A54,Questions!$A$2:$X$333,15,0)&amp;""))</f>
        <v>Describe privacy management process or provide links or attach documentation.</v>
      </c>
      <c r="F54" s="204" t="str">
        <f>VLOOKUP($A54,'Privacy Analyst Evaluation'!$A$46:$F$120,6,0)&amp;""</f>
        <v/>
      </c>
      <c r="H54" s="35"/>
    </row>
    <row r="55" spans="1:8" s="1" customFormat="1" ht="124.2" x14ac:dyDescent="0.25">
      <c r="A55" s="19" t="s">
        <v>727</v>
      </c>
      <c r="B55" s="18" t="str">
        <f>VLOOKUP($A55,Questions!$A$2:$X$333,2,0)</f>
        <v>Are privacy principles designed into the product lifecycle (i.e., privacy-by-design)?</v>
      </c>
      <c r="C55" s="21" t="s">
        <v>40</v>
      </c>
      <c r="D55" s="326" t="s">
        <v>1952</v>
      </c>
      <c r="E55" s="167" t="str">
        <f>IF($C55='Auto Responses'!$J$3,VLOOKUP($A55,Questions!$A$2:$X$333,17,0)&amp;"",IF($C55='Auto Responses'!$J$4,VLOOKUP($A55,Questions!$A$2:$X$333,16,0)&amp;"",VLOOKUP($A55,Questions!$A$2:$X$333,15,0)&amp;""))</f>
        <v>Summarize the privacy principles designed into the product lifecycle.</v>
      </c>
      <c r="F55" s="204" t="str">
        <f>VLOOKUP($A55,'Privacy Analyst Evaluation'!$A$46:$F$120,6,0)&amp;""</f>
        <v/>
      </c>
      <c r="H55" s="35"/>
    </row>
    <row r="56" spans="1:8" s="1" customFormat="1" ht="96.6" x14ac:dyDescent="0.25">
      <c r="A56" s="19" t="s">
        <v>730</v>
      </c>
      <c r="B56" s="18" t="str">
        <f>VLOOKUP($A56,Questions!$A$2:$X$333,2,0)</f>
        <v>Will you comply with applicable breach notification laws?</v>
      </c>
      <c r="C56" s="21" t="s">
        <v>40</v>
      </c>
      <c r="D56" s="326" t="s">
        <v>1953</v>
      </c>
      <c r="E56" s="167" t="str">
        <f>IF($C56='Auto Responses'!$J$3,VLOOKUP($A56,Questions!$A$2:$X$333,17,0)&amp;"",IF($C56='Auto Responses'!$J$4,VLOOKUP($A56,Questions!$A$2:$X$333,16,0)&amp;"",VLOOKUP($A56,Questions!$A$2:$X$333,15,0)&amp;""))</f>
        <v>State how quickly the institution will be notified once a breach is identified, in addition to notifying the necessary governmental agencies based on the extent of the breach.</v>
      </c>
      <c r="F56" s="204" t="str">
        <f>VLOOKUP($A56,'Privacy Analyst Evaluation'!$A$46:$F$120,6,0)&amp;""</f>
        <v/>
      </c>
      <c r="H56" s="35"/>
    </row>
    <row r="57" spans="1:8" s="1" customFormat="1" ht="55.2" x14ac:dyDescent="0.25">
      <c r="A57" s="19" t="s">
        <v>732</v>
      </c>
      <c r="B57" s="18" t="str">
        <f>VLOOKUP($A57,Questions!$A$2:$X$333,2,0)</f>
        <v>Will you comply with the institution's policies regarding user privacy and data protection?</v>
      </c>
      <c r="C57" s="21" t="s">
        <v>40</v>
      </c>
      <c r="D57" s="326" t="s">
        <v>1954</v>
      </c>
      <c r="E57" s="167" t="str">
        <f>IF($C57='Auto Responses'!$J$3,VLOOKUP($A57,Questions!$A$2:$X$333,17,0)&amp;"",IF($C57='Auto Responses'!$J$4,VLOOKUP($A57,Questions!$A$2:$X$333,16,0)&amp;"",VLOOKUP($A57,Questions!$A$2:$X$333,15,0)&amp;""))</f>
        <v/>
      </c>
      <c r="F57" s="204" t="str">
        <f>VLOOKUP($A57,'Privacy Analyst Evaluation'!$A$46:$F$120,6,0)&amp;""</f>
        <v/>
      </c>
      <c r="H57" s="35"/>
    </row>
    <row r="58" spans="1:8" s="1" customFormat="1" ht="69" x14ac:dyDescent="0.25">
      <c r="A58" s="19" t="s">
        <v>734</v>
      </c>
      <c r="B58" s="18" t="str">
        <f>VLOOKUP($A58,Questions!$A$2:$X$333,2,0)</f>
        <v>Is your company subject to the laws and regulations of the institution's geographic region?</v>
      </c>
      <c r="C58" s="21" t="s">
        <v>40</v>
      </c>
      <c r="D58" s="326" t="s">
        <v>1955</v>
      </c>
      <c r="E58" s="167" t="str">
        <f>IF($C58='Auto Responses'!$J$3,VLOOKUP($A58,Questions!$A$2:$X$333,17,0)&amp;"",IF($C58='Auto Responses'!$J$4,VLOOKUP($A58,Questions!$A$2:$X$333,16,0)&amp;"",VLOOKUP($A58,Questions!$A$2:$X$333,15,0)&amp;""))</f>
        <v/>
      </c>
      <c r="F58" s="204" t="str">
        <f>VLOOKUP($A58,'Privacy Analyst Evaluation'!$A$46:$F$120,6,0)&amp;""</f>
        <v/>
      </c>
      <c r="H58" s="35"/>
    </row>
    <row r="59" spans="1:8" s="1" customFormat="1" ht="82.8" x14ac:dyDescent="0.25">
      <c r="A59" s="19" t="s">
        <v>736</v>
      </c>
      <c r="B59" s="18" t="str">
        <f>VLOOKUP($A59,Questions!$A$2:$X$333,2,0)</f>
        <v>Do you have a privacy awareness/training program?*</v>
      </c>
      <c r="C59" s="21" t="s">
        <v>40</v>
      </c>
      <c r="D59" s="326" t="s">
        <v>1956</v>
      </c>
      <c r="E59" s="167" t="str">
        <f>IF($C59='Auto Responses'!$J$3,VLOOKUP($A59,Questions!$A$2:$X$333,17,0)&amp;"",IF($C59='Auto Responses'!$J$4,VLOOKUP($A59,Questions!$A$2:$X$333,16,0)&amp;"",VLOOKUP($A59,Questions!$A$2:$X$333,15,0)&amp;""))</f>
        <v>Briefly describe what is included in the training.</v>
      </c>
      <c r="F59" s="204" t="str">
        <f>VLOOKUP($A59,'Privacy Analyst Evaluation'!$A$46:$F$120,6,0)&amp;""</f>
        <v/>
      </c>
      <c r="H59" s="35"/>
    </row>
    <row r="60" spans="1:8" s="1" customFormat="1" ht="55.2" x14ac:dyDescent="0.25">
      <c r="A60" s="19" t="s">
        <v>737</v>
      </c>
      <c r="B60" s="18" t="str">
        <f>VLOOKUP($A60,Questions!$A$2:$X$333,2,0)</f>
        <v>Is privacy awareness training mandatory for all employees?</v>
      </c>
      <c r="C60" s="21" t="s">
        <v>40</v>
      </c>
      <c r="D60" s="326" t="s">
        <v>1957</v>
      </c>
      <c r="E60" s="167" t="str">
        <f>IF($C60='Auto Responses'!$J$3,VLOOKUP($A60,Questions!$A$2:$X$333,17,0)&amp;"",IF($C60='Auto Responses'!$J$4,VLOOKUP($A60,Questions!$A$2:$X$333,16,0)&amp;"",VLOOKUP($A60,Questions!$A$2:$X$333,15,0)&amp;""))</f>
        <v>Your response should include who must complete the training.</v>
      </c>
      <c r="F60" s="204" t="str">
        <f>VLOOKUP($A60,'Privacy Analyst Evaluation'!$A$46:$F$120,6,0)&amp;""</f>
        <v/>
      </c>
      <c r="H60" s="35"/>
    </row>
    <row r="61" spans="1:8" s="1" customFormat="1" ht="96.6" x14ac:dyDescent="0.25">
      <c r="A61" s="19" t="s">
        <v>740</v>
      </c>
      <c r="B61" s="18" t="str">
        <f>VLOOKUP($A61,Questions!$A$2:$X$333,2,0)</f>
        <v>Is AI privacy and ethics awareness/training required for all employees who work with AI?</v>
      </c>
      <c r="C61" s="21" t="s">
        <v>40</v>
      </c>
      <c r="D61" s="326" t="s">
        <v>1958</v>
      </c>
      <c r="E61" s="167" t="str">
        <f>IF($C61='Auto Responses'!$J$3,VLOOKUP($A61,Questions!$A$2:$X$333,17,0)&amp;"",IF($C61='Auto Responses'!$J$4,VLOOKUP($A61,Questions!$A$2:$X$333,16,0)&amp;"",IF($C61='Auto Responses'!$J$5,VLOOKUP($A61,Questions!$A$2:$X$333,18,0)&amp;"",VLOOKUP($A61,Questions!$A$2:$X$333,15,0)&amp;"")))</f>
        <v>Briefly describe what is included in the training.</v>
      </c>
      <c r="F61" s="204" t="str">
        <f>VLOOKUP($A61,'Privacy Analyst Evaluation'!$A$46:$F$120,6,0)&amp;""</f>
        <v/>
      </c>
      <c r="H61" s="35"/>
    </row>
    <row r="62" spans="1:8" s="1" customFormat="1" ht="82.8" x14ac:dyDescent="0.25">
      <c r="A62" s="19" t="s">
        <v>743</v>
      </c>
      <c r="B62" s="18" t="str">
        <f>VLOOKUP($A62,Questions!$A$2:$X$333,2,0)</f>
        <v>Do you have any decision-making processes that are completely automated (i.e., there is no human involvement)?</v>
      </c>
      <c r="C62" s="21" t="s">
        <v>148</v>
      </c>
      <c r="D62" s="326" t="s">
        <v>1959</v>
      </c>
      <c r="E62" s="167" t="str">
        <f>IF($C62='Auto Responses'!$J$3,VLOOKUP($A62,Questions!$A$2:$X$333,17,0)&amp;"",IF($C62='Auto Responses'!$J$4,VLOOKUP($A62,Questions!$A$2:$X$333,16,0)&amp;"",VLOOKUP($A62,Questions!$A$2:$X$333,15,0)&amp;""))</f>
        <v>Examples of such automated decisions could include automatically denying or approving user access requests, flagging or blocking transactions based on risk scores, or AI-driven decisions that affect user outcomes (e.g., eligibility, grading, pricing).</v>
      </c>
      <c r="F62" s="204" t="str">
        <f>VLOOKUP($A62,'Privacy Analyst Evaluation'!$A$46:$F$120,6,0)&amp;""</f>
        <v/>
      </c>
      <c r="H62" s="35"/>
    </row>
    <row r="63" spans="1:8" s="1" customFormat="1" ht="110.4" x14ac:dyDescent="0.25">
      <c r="A63" s="19" t="s">
        <v>744</v>
      </c>
      <c r="B63" s="18" t="str">
        <f>VLOOKUP($A63,Questions!$A$2:$X$333,2,0)</f>
        <v>Do you have a documented process for managing automated processing, including validations, monitoring, and data subject requests?</v>
      </c>
      <c r="C63" s="21" t="s">
        <v>40</v>
      </c>
      <c r="D63" s="326" t="s">
        <v>1960</v>
      </c>
      <c r="E63" s="167" t="str">
        <f>IF($C63='Auto Responses'!$J$3,VLOOKUP($A63,Questions!$A$2:$X$333,17,0)&amp;"",IF($C63='Auto Responses'!$J$4,VLOOKUP($A63,Questions!$A$2:$X$333,16,0)&amp;"",IF($C63='Auto Responses'!$J$5,VLOOKUP($A63,Questions!$A$2:$X$333,18,0)&amp;"",VLOOKUP($A63,Questions!$A$2:$X$333,15,0)&amp;"")))</f>
        <v>Briefly describe processes.</v>
      </c>
      <c r="F63" s="204" t="str">
        <f>VLOOKUP($A63,'Privacy Analyst Evaluation'!$A$46:$F$120,6,0)&amp;""</f>
        <v/>
      </c>
      <c r="H63" s="35"/>
    </row>
    <row r="64" spans="1:8" s="1" customFormat="1" ht="96.6" x14ac:dyDescent="0.25">
      <c r="A64" s="19" t="s">
        <v>746</v>
      </c>
      <c r="B64" s="18" t="str">
        <f>VLOOKUP($A64,Questions!$A$2:$X$333,2,0)</f>
        <v>Do you have a documented policy for sharing information with law enforcement?</v>
      </c>
      <c r="C64" s="21" t="s">
        <v>148</v>
      </c>
      <c r="D64" s="326" t="s">
        <v>1961</v>
      </c>
      <c r="E64" s="167" t="str">
        <f>IF($C64='Auto Responses'!$J$3,VLOOKUP($A64,Questions!$A$2:$X$333,17,0)&amp;"",IF($C64='Auto Responses'!$J$4,VLOOKUP($A64,Questions!$A$2:$X$333,16,0)&amp;"",VLOOKUP($A64,Questions!$A$2:$X$333,15,0)&amp;""))</f>
        <v>Explain any plans to develop a policy. If no plans exist, explain why not.</v>
      </c>
      <c r="F64" s="204" t="str">
        <f>VLOOKUP($A64,'Privacy Analyst Evaluation'!$A$46:$F$120,6,0)&amp;""</f>
        <v/>
      </c>
      <c r="H64" s="35"/>
    </row>
    <row r="65" spans="1:8" s="1" customFormat="1" ht="55.2" x14ac:dyDescent="0.25">
      <c r="A65" s="19" t="s">
        <v>749</v>
      </c>
      <c r="B65" s="18" t="str">
        <f>VLOOKUP($A65,Questions!$A$2:$X$333,2,0)</f>
        <v>Do you share any institutional data with law enforcement without a valid warrant or subpoena?*</v>
      </c>
      <c r="C65" s="21" t="s">
        <v>148</v>
      </c>
      <c r="D65" s="326" t="s">
        <v>1962</v>
      </c>
      <c r="E65" s="167" t="str">
        <f>IF($C65='Auto Responses'!$J$3,VLOOKUP($A65,Questions!$A$2:$X$333,17,0)&amp;"",IF($C65='Auto Responses'!$J$4,VLOOKUP($A65,Questions!$A$2:$X$333,16,0)&amp;"",VLOOKUP($A65,Questions!$A$2:$X$333,15,0)&amp;""))</f>
        <v>Describe how you ensure this does not occur.</v>
      </c>
      <c r="F65" s="204" t="str">
        <f>VLOOKUP($A65,'Privacy Analyst Evaluation'!$A$46:$F$120,6,0)&amp;""</f>
        <v/>
      </c>
      <c r="H65" s="35"/>
    </row>
    <row r="66" spans="1:8" s="1" customFormat="1" ht="69.599999999999994" thickBot="1" x14ac:dyDescent="0.3">
      <c r="A66" s="19" t="s">
        <v>750</v>
      </c>
      <c r="B66" s="18" t="str">
        <f>VLOOKUP($A66,Questions!$A$2:$X$333,2,0)</f>
        <v>Does your incident response team include a privacy analyst/officer?</v>
      </c>
      <c r="C66" s="21" t="s">
        <v>148</v>
      </c>
      <c r="D66" s="326" t="s">
        <v>1963</v>
      </c>
      <c r="E66" s="167" t="str">
        <f>IF($C66='Auto Responses'!$J$3,VLOOKUP($A66,Questions!$A$2:$X$333,17,0)&amp;"",IF($C66='Auto Responses'!$J$4,VLOOKUP($A66,Questions!$A$2:$X$333,16,0)&amp;"",VLOOKUP($A66,Questions!$A$2:$X$333,15,0)&amp;""))</f>
        <v>Explain why not</v>
      </c>
      <c r="F66" s="204" t="str">
        <f>VLOOKUP($A66,'Privacy Analyst Evaluation'!$A$46:$F$120,6,0)&amp;""</f>
        <v/>
      </c>
      <c r="G66" s="238" t="s">
        <v>1449</v>
      </c>
      <c r="H66" s="35"/>
    </row>
    <row r="67" spans="1:8" s="1" customFormat="1" ht="37.35" customHeight="1" thickBot="1" x14ac:dyDescent="0.3">
      <c r="A67" s="63" t="str">
        <f>VLOOKUP(LEFT($A68,4),'Auto Responses'!$N$4:$O$38,2,0)&amp;""</f>
        <v xml:space="preserve"> International Privacy</v>
      </c>
      <c r="B67" s="22"/>
      <c r="C67" s="13" t="s">
        <v>1497</v>
      </c>
      <c r="D67" s="13" t="s">
        <v>72</v>
      </c>
      <c r="E67" s="31" t="s">
        <v>848</v>
      </c>
      <c r="F67" s="202" t="s">
        <v>849</v>
      </c>
      <c r="H67" s="35"/>
    </row>
    <row r="68" spans="1:8" s="1" customFormat="1" ht="42.75" customHeight="1" x14ac:dyDescent="0.25">
      <c r="A68" s="19" t="s">
        <v>752</v>
      </c>
      <c r="B68" s="18" t="str">
        <f>VLOOKUP($A68,Questions!$A$2:$X$333,2,0)</f>
        <v>Will data be collected from or processed in or stored in the European Economic Area (EEA)?</v>
      </c>
      <c r="C68" s="21" t="s">
        <v>148</v>
      </c>
      <c r="D68" s="326" t="s">
        <v>1932</v>
      </c>
      <c r="E68" s="167" t="str">
        <f>IF($C68='Auto Responses'!$J$3,VLOOKUP($A68,Questions!$A$2:$X$333,17,0)&amp;"",IF($C68='Auto Responses'!$J$4,VLOOKUP($A68,Questions!$A$2:$X$333,16,0)&amp;"",VLOOKUP($A68,Questions!$A$2:$X$333,15,0)&amp;""))</f>
        <v/>
      </c>
      <c r="F68" s="204" t="str">
        <f>VLOOKUP($A68,'Privacy Analyst Evaluation'!$A$46:$F$120,6,0)&amp;""</f>
        <v/>
      </c>
      <c r="H68" s="35"/>
    </row>
    <row r="69" spans="1:8" s="1" customFormat="1" ht="28.5" customHeight="1" x14ac:dyDescent="0.25">
      <c r="A69" s="19" t="s">
        <v>755</v>
      </c>
      <c r="B69" s="18" t="str">
        <f>VLOOKUP($A69,Questions!$A$2:$X$333,2,0)</f>
        <v>Do you have a data protection officer (DPO)?</v>
      </c>
      <c r="C69" s="21" t="s">
        <v>148</v>
      </c>
      <c r="D69" s="326" t="s">
        <v>1932</v>
      </c>
      <c r="E69" s="167" t="str">
        <f>IF($C69='Auto Responses'!$J$3,VLOOKUP($A69,Questions!$A$2:$X$333,17,0)&amp;"",IF($C69='Auto Responses'!$J$4,VLOOKUP($A69,Questions!$A$2:$X$333,16,0)&amp;"",VLOOKUP($A69,Questions!$A$2:$X$333,15,0)&amp;""))</f>
        <v>Explain why not</v>
      </c>
      <c r="F69" s="204" t="str">
        <f>VLOOKUP($A69,'Privacy Analyst Evaluation'!$A$46:$F$120,6,0)&amp;""</f>
        <v/>
      </c>
      <c r="H69" s="35"/>
    </row>
    <row r="70" spans="1:8" s="1" customFormat="1" ht="38.25" customHeight="1" x14ac:dyDescent="0.25">
      <c r="A70" s="19" t="s">
        <v>757</v>
      </c>
      <c r="B70" s="18" t="str">
        <f>VLOOKUP($A70,Questions!$A$2:$X$333,2,0)</f>
        <v>Will you sign appropriate GDPR Standard Contractual Clauses (SCCs) with the institution?</v>
      </c>
      <c r="C70" s="21" t="s">
        <v>40</v>
      </c>
      <c r="D70" s="326" t="s">
        <v>1932</v>
      </c>
      <c r="E70" s="167" t="str">
        <f>IF($C70='Auto Responses'!$J$3,VLOOKUP($A70,Questions!$A$2:$X$333,17,0)&amp;"",IF($C70='Auto Responses'!$J$4,VLOOKUP($A70,Questions!$A$2:$X$333,16,0)&amp;"",VLOOKUP($A70,Questions!$A$2:$X$333,15,0)&amp;""))</f>
        <v/>
      </c>
      <c r="F70" s="204" t="str">
        <f>VLOOKUP($A70,'Privacy Analyst Evaluation'!$A$46:$F$120,6,0)&amp;""</f>
        <v/>
      </c>
      <c r="H70" s="35"/>
    </row>
    <row r="71" spans="1:8" s="1" customFormat="1" ht="27.6" x14ac:dyDescent="0.25">
      <c r="A71" s="19" t="s">
        <v>759</v>
      </c>
      <c r="B71" s="18" t="str">
        <f>VLOOKUP($A71,Questions!$A$2:$X$333,2,0)</f>
        <v>Will data be collected from or processed in or stored in China?</v>
      </c>
      <c r="C71" s="21" t="s">
        <v>40</v>
      </c>
      <c r="D71" s="326" t="s">
        <v>1964</v>
      </c>
      <c r="E71" s="167" t="str">
        <f>IF($C71='Auto Responses'!$J$3,VLOOKUP($A71,Questions!$A$2:$X$333,17,0)&amp;"",IF($C71='Auto Responses'!$J$4,VLOOKUP($A71,Questions!$A$2:$X$333,16,0)&amp;"",VLOOKUP($A71,Questions!$A$2:$X$333,15,0)&amp;""))</f>
        <v>Describe where and what activities will take place in China.</v>
      </c>
      <c r="F71" s="204" t="str">
        <f>VLOOKUP($A71,'Privacy Analyst Evaluation'!$A$46:$F$120,6,0)&amp;""</f>
        <v/>
      </c>
      <c r="H71" s="35"/>
    </row>
    <row r="72" spans="1:8" s="1" customFormat="1" ht="207.6" thickBot="1" x14ac:dyDescent="0.3">
      <c r="A72" s="19" t="s">
        <v>762</v>
      </c>
      <c r="B72" s="18" t="str">
        <f>VLOOKUP($A72,Questions!$A$2:$X$333,2,0)</f>
        <v>Do you comply with PIPL security, privacy, and data localization requirements?</v>
      </c>
      <c r="C72" s="21" t="s">
        <v>148</v>
      </c>
      <c r="D72" s="326" t="s">
        <v>1965</v>
      </c>
      <c r="E72" s="167" t="str">
        <f>IF($C72='Auto Responses'!$J$3,VLOOKUP($A72,Questions!$A$2:$X$333,17,0)&amp;"",IF($C72='Auto Responses'!$J$4,VLOOKUP($A72,Questions!$A$2:$X$333,16,0)&amp;"",IF($C72='Auto Responses'!$J$5,VLOOKUP($A72,Questions!$A$2:$X$333,18,0)&amp;"",VLOOKUP($A72,Questions!$A$2:$X$333,15,0)&amp;"")))</f>
        <v>Explain why not</v>
      </c>
      <c r="F72" s="204" t="str">
        <f>VLOOKUP($A72,'Privacy Analyst Evaluation'!$A$46:$F$120,6,0)&amp;""</f>
        <v/>
      </c>
      <c r="G72" s="238" t="s">
        <v>1449</v>
      </c>
      <c r="H72" s="35"/>
    </row>
    <row r="73" spans="1:8" s="1" customFormat="1" ht="37.35" customHeight="1" thickBot="1" x14ac:dyDescent="0.3">
      <c r="A73" s="63" t="str">
        <f>VLOOKUP(LEFT($A74,4),'Auto Responses'!$N$4:$O$38,2,0)&amp;""</f>
        <v xml:space="preserve"> Data Privacy</v>
      </c>
      <c r="B73" s="22"/>
      <c r="C73" s="13" t="s">
        <v>1497</v>
      </c>
      <c r="D73" s="13" t="s">
        <v>72</v>
      </c>
      <c r="E73" s="31" t="s">
        <v>848</v>
      </c>
      <c r="F73" s="202" t="s">
        <v>849</v>
      </c>
      <c r="H73" s="35"/>
    </row>
    <row r="74" spans="1:8" s="1" customFormat="1" ht="165.6" x14ac:dyDescent="0.25">
      <c r="A74" s="19" t="s">
        <v>1035</v>
      </c>
      <c r="B74" s="18" t="str">
        <f>VLOOKUP($A74,Questions!$A$2:$X$333,2,0)</f>
        <v>Have you performed a Data Privacy Impact Assessment for the solution/project?</v>
      </c>
      <c r="C74" s="21" t="s">
        <v>148</v>
      </c>
      <c r="D74" s="326" t="s">
        <v>1966</v>
      </c>
      <c r="E74" s="167" t="str">
        <f>IF($C74='Auto Responses'!$J$3,VLOOKUP($A74,Questions!$A$2:$X$333,17,0)&amp;"",IF($C74='Auto Responses'!$J$4,VLOOKUP($A74,Questions!$A$2:$X$333,16,0)&amp;"",VLOOKUP($A74,Questions!$A$2:$X$333,15,0)&amp;""))</f>
        <v>Provide timeline for this or reason not to perform.</v>
      </c>
      <c r="F74" s="204" t="str">
        <f>VLOOKUP($A74,'Privacy Analyst Evaluation'!$A$46:$F$120,6,0)&amp;""</f>
        <v/>
      </c>
      <c r="H74" s="35"/>
    </row>
    <row r="75" spans="1:8" s="1" customFormat="1" ht="54.75" customHeight="1" x14ac:dyDescent="0.25">
      <c r="A75" s="19" t="s">
        <v>1036</v>
      </c>
      <c r="B75" s="18" t="str">
        <f>VLOOKUP($A75,Questions!$A$2:$X$333,2,0)</f>
        <v>Do you provide an end-user privacy notice about privacy policies and procedures that identify the purpose(s) for which personal information is collected, used, retained, and disclosed?</v>
      </c>
      <c r="C75" s="21" t="s">
        <v>40</v>
      </c>
      <c r="D75" s="326" t="s">
        <v>1933</v>
      </c>
      <c r="E75" s="167" t="str">
        <f>IF($C75='Auto Responses'!$J$3,VLOOKUP($A75,Questions!$A$2:$X$333,17,0)&amp;"",IF($C75='Auto Responses'!$J$4,VLOOKUP($A75,Questions!$A$2:$X$333,16,0)&amp;"",VLOOKUP($A75,Questions!$A$2:$X$333,15,0)&amp;""))</f>
        <v>Provide link or copy.</v>
      </c>
      <c r="F75" s="204" t="str">
        <f>VLOOKUP($A75,'Privacy Analyst Evaluation'!$A$46:$F$120,6,0)&amp;""</f>
        <v/>
      </c>
      <c r="H75" s="35"/>
    </row>
    <row r="76" spans="1:8" s="1" customFormat="1" ht="138" x14ac:dyDescent="0.25">
      <c r="A76" s="19" t="s">
        <v>1037</v>
      </c>
      <c r="B76" s="18" t="str">
        <f>VLOOKUP($A76,Questions!$A$2:$X$333,2,0)</f>
        <v>Do you describe the choices available to the individual and obtain implicit or explicit consent with respect to the collection, use, and disclosure of personal information?</v>
      </c>
      <c r="C76" s="21" t="s">
        <v>40</v>
      </c>
      <c r="D76" s="326" t="s">
        <v>1967</v>
      </c>
      <c r="E76" s="167" t="str">
        <f>IF($C76='Auto Responses'!$J$3,VLOOKUP($A76,Questions!$A$2:$X$333,17,0)&amp;"",IF($C76='Auto Responses'!$J$4,VLOOKUP($A76,Questions!$A$2:$X$333,16,0)&amp;"",IF($C76='Auto Responses'!$J$5,VLOOKUP($A76,Questions!$A$2:$X$333,18,0)&amp;"",VLOOKUP($A76,Questions!$A$2:$X$333,15,0)&amp;"")))</f>
        <v>Provide copy, link, or summary overview.</v>
      </c>
      <c r="F76" s="204" t="str">
        <f>VLOOKUP($A76,'Privacy Analyst Evaluation'!$A$46:$F$120,6,0)&amp;""</f>
        <v/>
      </c>
      <c r="H76" s="35"/>
    </row>
    <row r="77" spans="1:8" s="1" customFormat="1" ht="69" x14ac:dyDescent="0.25">
      <c r="A77" s="19" t="s">
        <v>1038</v>
      </c>
      <c r="B77" s="18" t="str">
        <f>VLOOKUP($A77,Questions!$A$2:$X$333,2,0)</f>
        <v>Do you collect personal information only for the purpose(s) identified in the agreement with an institution or, if there is none, the purpose(s) identified in the privacy notice?</v>
      </c>
      <c r="C77" s="21" t="s">
        <v>40</v>
      </c>
      <c r="D77" s="326" t="s">
        <v>1968</v>
      </c>
      <c r="E77" s="167" t="str">
        <f>IF($C77='Auto Responses'!$J$3,VLOOKUP($A77,Questions!$A$2:$X$333,17,0)&amp;"",IF($C77='Auto Responses'!$J$4,VLOOKUP($A77,Questions!$A$2:$X$333,16,0)&amp;"",IF($C77='Auto Responses'!$J$5,VLOOKUP($A77,Questions!$A$2:$X$333,18,0)&amp;"",VLOOKUP($A77,Questions!$A$2:$X$333,15,0)&amp;"")))</f>
        <v>Describe purposes not included in an agreement with the institution.</v>
      </c>
      <c r="F77" s="204" t="str">
        <f>VLOOKUP($A77,'Privacy Analyst Evaluation'!$A$46:$F$120,6,0)&amp;""</f>
        <v/>
      </c>
      <c r="H77" s="35"/>
    </row>
    <row r="78" spans="1:8" s="1" customFormat="1" ht="55.2" x14ac:dyDescent="0.25">
      <c r="A78" s="19" t="s">
        <v>1039</v>
      </c>
      <c r="B78" s="18" t="str">
        <f>VLOOKUP($A78,Questions!$A$2:$X$333,2,0)</f>
        <v>Do you have a documented list of personal data your service maintains?</v>
      </c>
      <c r="C78" s="21" t="s">
        <v>40</v>
      </c>
      <c r="D78" s="326" t="s">
        <v>1934</v>
      </c>
      <c r="E78" s="167" t="str">
        <f>IF($C78='Auto Responses'!$J$3,VLOOKUP($A78,Questions!$A$2:$X$333,17,0)&amp;"",IF($C78='Auto Responses'!$J$4,VLOOKUP($A78,Questions!$A$2:$X$333,16,0)&amp;"",IF($C78='Auto Responses'!$J$5,VLOOKUP($A78,Questions!$A$2:$X$333,18,0)&amp;"",VLOOKUP($A78,Questions!$A$2:$X$333,15,0)&amp;"")))</f>
        <v>Provide copy, link, or summary overview.</v>
      </c>
      <c r="F78" s="204" t="str">
        <f>VLOOKUP($A78,'Privacy Analyst Evaluation'!$A$46:$F$120,6,0)&amp;""</f>
        <v/>
      </c>
      <c r="H78" s="35"/>
    </row>
    <row r="79" spans="1:8" s="1" customFormat="1" ht="82.8" x14ac:dyDescent="0.25">
      <c r="A79" s="19" t="s">
        <v>1040</v>
      </c>
      <c r="B79" s="18" t="str">
        <f>VLOOKUP($A79,Questions!$A$2:$X$333,2,0)</f>
        <v>Do you retain personal information for only as long as necessary to fulfill the stated purpose(s) or as required by law or regulation and thereafter appropriately dispose of such information?</v>
      </c>
      <c r="C79" s="21" t="s">
        <v>40</v>
      </c>
      <c r="D79" s="326" t="s">
        <v>1969</v>
      </c>
      <c r="E79" s="167" t="str">
        <f>IF($C79='Auto Responses'!$J$3,VLOOKUP($A79,Questions!$A$2:$X$333,17,0)&amp;"",IF($C79='Auto Responses'!$J$4,VLOOKUP($A79,Questions!$A$2:$X$333,16,0)&amp;"",IF($C79='Auto Responses'!$J$5,VLOOKUP($A79,Questions!$A$2:$X$333,18,0)&amp;"",VLOOKUP($A79,Questions!$A$2:$X$333,15,0)&amp;"")))</f>
        <v/>
      </c>
      <c r="F79" s="204" t="str">
        <f>VLOOKUP($A79,'Privacy Analyst Evaluation'!$A$46:$F$120,6,0)&amp;""</f>
        <v/>
      </c>
      <c r="H79" s="35"/>
    </row>
    <row r="80" spans="1:8" s="1" customFormat="1" ht="110.4" x14ac:dyDescent="0.25">
      <c r="A80" s="19" t="s">
        <v>1041</v>
      </c>
      <c r="B80" s="18" t="str">
        <f>VLOOKUP($A80,Questions!$A$2:$X$333,2,0)</f>
        <v>Do you provide individuals with access to their personal information for review and update (i.e., data subject rights)?</v>
      </c>
      <c r="C80" s="21" t="s">
        <v>40</v>
      </c>
      <c r="D80" s="326" t="s">
        <v>1973</v>
      </c>
      <c r="E80" s="167" t="str">
        <f>IF($C80='Auto Responses'!$J$3,VLOOKUP($A80,Questions!$A$2:$X$333,17,0)&amp;"",IF($C80='Auto Responses'!$J$4,VLOOKUP($A80,Questions!$A$2:$X$333,16,0)&amp;"",IF($C80='Auto Responses'!$J$5,VLOOKUP($A80,Questions!$A$2:$X$333,18,0)&amp;"",VLOOKUP($A80,Questions!$A$2:$X$333,15,0)&amp;"")))</f>
        <v>Such processes would include descriptions of request processes individuals can follow to review their information and written processes a data subject may use to ask for changes or corrections to data held about them.</v>
      </c>
      <c r="F80" s="204" t="str">
        <f>VLOOKUP($A80,'Privacy Analyst Evaluation'!$A$46:$F$120,6,0)&amp;""</f>
        <v/>
      </c>
      <c r="H80" s="35"/>
    </row>
    <row r="81" spans="1:8" s="1" customFormat="1" ht="69" x14ac:dyDescent="0.25">
      <c r="A81" s="19" t="s">
        <v>1042</v>
      </c>
      <c r="B81" s="18" t="str">
        <f>VLOOKUP($A81,Questions!$A$2:$X$333,2,0)</f>
        <v>Do you disclose personal information to third parties only for the purpose(s) identified in the privacy notice or with the implicit or explicit consent of the individual?</v>
      </c>
      <c r="C81" s="21" t="s">
        <v>40</v>
      </c>
      <c r="D81" s="326" t="s">
        <v>1970</v>
      </c>
      <c r="E81" s="167" t="str">
        <f>IF($C81='Auto Responses'!$J$3,VLOOKUP($A81,Questions!$A$2:$X$333,17,0)&amp;"",IF($C81='Auto Responses'!$J$4,VLOOKUP($A81,Questions!$A$2:$X$333,16,0)&amp;"",IF($C81='Auto Responses'!$J$5,VLOOKUP($A81,Questions!$A$2:$X$333,18,0)&amp;"",VLOOKUP($A81,Questions!$A$2:$X$333,15,0)&amp;"")))</f>
        <v/>
      </c>
      <c r="F81" s="204" t="str">
        <f>VLOOKUP($A81,'Privacy Analyst Evaluation'!$A$46:$F$120,6,0)&amp;""</f>
        <v/>
      </c>
      <c r="H81" s="35"/>
    </row>
    <row r="82" spans="1:8" s="1" customFormat="1" ht="69" x14ac:dyDescent="0.25">
      <c r="A82" s="19" t="s">
        <v>1043</v>
      </c>
      <c r="B82" s="18" t="str">
        <f>VLOOKUP($A82,Questions!$A$2:$X$333,2,0)</f>
        <v>Do you protect personal information against unauthorized access (both physical and logical)?</v>
      </c>
      <c r="C82" s="21" t="s">
        <v>40</v>
      </c>
      <c r="D82" s="326" t="s">
        <v>1971</v>
      </c>
      <c r="E82" s="167" t="str">
        <f>IF($C82='Auto Responses'!$J$3,VLOOKUP($A82,Questions!$A$2:$X$333,17,0)&amp;"",IF($C82='Auto Responses'!$J$4,VLOOKUP($A82,Questions!$A$2:$X$333,16,0)&amp;"",IF($C82='Auto Responses'!$J$5,VLOOKUP($A82,Questions!$A$2:$X$333,18,0)&amp;"",VLOOKUP($A82,Questions!$A$2:$X$333,15,0)&amp;"")))</f>
        <v/>
      </c>
      <c r="F82" s="204" t="str">
        <f>VLOOKUP($A82,'Privacy Analyst Evaluation'!$A$46:$F$120,6,0)&amp;""</f>
        <v/>
      </c>
      <c r="H82" s="35"/>
    </row>
    <row r="83" spans="1:8" s="1" customFormat="1" ht="82.8" x14ac:dyDescent="0.25">
      <c r="A83" s="19" t="s">
        <v>1044</v>
      </c>
      <c r="B83" s="18" t="str">
        <f>VLOOKUP($A83,Questions!$A$2:$X$333,2,0)</f>
        <v>Do you maintain accurate, complete, and relevant personal information for the purposes identified in the privacy notice?</v>
      </c>
      <c r="C83" s="21" t="s">
        <v>40</v>
      </c>
      <c r="D83" s="326" t="s">
        <v>1972</v>
      </c>
      <c r="E83" s="167" t="str">
        <f>IF($C83='Auto Responses'!$J$3,VLOOKUP($A83,Questions!$A$2:$X$333,17,0)&amp;"",IF($C83='Auto Responses'!$J$4,VLOOKUP($A83,Questions!$A$2:$X$333,16,0)&amp;"",IF($C83='Auto Responses'!$J$5,VLOOKUP($A83,Questions!$A$2:$X$333,18,0)&amp;"",VLOOKUP($A83,Questions!$A$2:$X$333,15,0)&amp;"")))</f>
        <v/>
      </c>
      <c r="F83" s="204" t="str">
        <f>VLOOKUP($A83,'Privacy Analyst Evaluation'!$A$46:$F$120,6,0)&amp;""</f>
        <v/>
      </c>
      <c r="H83" s="35"/>
    </row>
    <row r="84" spans="1:8" s="1" customFormat="1" ht="82.8" x14ac:dyDescent="0.25">
      <c r="A84" s="19" t="s">
        <v>1045</v>
      </c>
      <c r="B84" s="18" t="str">
        <f>VLOOKUP($A84,Questions!$A$2:$X$333,2,0)</f>
        <v>Do you have procedures to address privacy-related noncompliance complaints and disputes?</v>
      </c>
      <c r="C84" s="21" t="s">
        <v>40</v>
      </c>
      <c r="D84" s="326" t="s">
        <v>1974</v>
      </c>
      <c r="E84" s="167" t="str">
        <f>IF($C84='Auto Responses'!$J$3,VLOOKUP($A84,Questions!$A$2:$X$333,17,0)&amp;"",IF($C84='Auto Responses'!$J$4,VLOOKUP($A84,Questions!$A$2:$X$333,16,0)&amp;"",IF($C84='Auto Responses'!$J$5,VLOOKUP($A84,Questions!$A$2:$X$333,18,0)&amp;"",VLOOKUP($A84,Questions!$A$2:$X$333,15,0)&amp;"")))</f>
        <v>Provide a brief overview of processes or procedures to handle privacy-related complaints.</v>
      </c>
      <c r="F84" s="204" t="str">
        <f>VLOOKUP($A84,'Privacy Analyst Evaluation'!$A$46:$F$120,6,0)&amp;""</f>
        <v/>
      </c>
      <c r="H84" s="35"/>
    </row>
    <row r="85" spans="1:8" s="1" customFormat="1" ht="82.8" x14ac:dyDescent="0.25">
      <c r="A85" s="19" t="s">
        <v>1046</v>
      </c>
      <c r="B85" s="18" t="str">
        <f>VLOOKUP($A85,Questions!$A$2:$X$333,2,0)</f>
        <v>Do you "anonymize," "de-identify," or otherwise mask personal data?</v>
      </c>
      <c r="C85" s="21" t="s">
        <v>40</v>
      </c>
      <c r="D85" s="326" t="s">
        <v>1975</v>
      </c>
      <c r="E85" s="167" t="str">
        <f>IF($C85='Auto Responses'!$J$3,VLOOKUP($A85,Questions!$A$2:$X$333,17,0)&amp;"",IF($C85='Auto Responses'!$J$4,VLOOKUP($A85,Questions!$A$2:$X$333,16,0)&amp;"",IF($C85='Auto Responses'!$J$5,VLOOKUP($A85,Questions!$A$2:$X$333,18,0)&amp;"",VLOOKUP($A85,Questions!$A$2:$X$333,15,0)&amp;"")))</f>
        <v>Briefly describe method used to mask data.</v>
      </c>
      <c r="F85" s="204" t="str">
        <f>VLOOKUP($A85,'Privacy Analyst Evaluation'!$A$46:$F$120,6,0)&amp;""</f>
        <v/>
      </c>
      <c r="H85" s="35"/>
    </row>
    <row r="86" spans="1:8" s="1" customFormat="1" ht="93" customHeight="1" x14ac:dyDescent="0.25">
      <c r="A86" s="19" t="s">
        <v>1047</v>
      </c>
      <c r="B86" s="18" t="str">
        <f>VLOOKUP($A86,Questions!$A$2:$X$333,2,0)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86" s="21" t="s">
        <v>148</v>
      </c>
      <c r="D86" s="326" t="s">
        <v>1977</v>
      </c>
      <c r="E86" s="167" t="str">
        <f>IF($C86='Auto Responses'!$J$3,VLOOKUP($A86,Questions!$A$2:$X$333,17,0)&amp;"",IF($C86='Auto Responses'!$J$4,VLOOKUP($A86,Questions!$A$2:$X$333,16,0)&amp;"",IF($C86='Auto Responses'!$J$5,VLOOKUP($A86,Questions!$A$2:$X$333,18,0)&amp;"",VLOOKUP($A86,Questions!$A$2:$X$333,15,0)&amp;"")))</f>
        <v/>
      </c>
      <c r="F86" s="204" t="str">
        <f>VLOOKUP($A86,'Privacy Analyst Evaluation'!$A$46:$F$120,6,0)&amp;""</f>
        <v/>
      </c>
      <c r="H86" s="35"/>
    </row>
    <row r="87" spans="1:8" s="1" customFormat="1" ht="41.4" x14ac:dyDescent="0.25">
      <c r="A87" s="19" t="s">
        <v>1048</v>
      </c>
      <c r="B87" s="18" t="str">
        <f>VLOOKUP($A87,Questions!$A$2:$X$333,2,0)</f>
        <v>Do you certify stop-processing requests, including any data that is processed by a third party on your behalf?</v>
      </c>
      <c r="C87" s="21" t="s">
        <v>40</v>
      </c>
      <c r="D87" s="326" t="s">
        <v>1976</v>
      </c>
      <c r="E87" s="167" t="str">
        <f>IF($C87='Auto Responses'!$J$3,VLOOKUP($A87,Questions!$A$2:$X$333,17,0)&amp;"",IF($C87='Auto Responses'!$J$4,VLOOKUP($A87,Questions!$A$2:$X$333,16,0)&amp;"",IF($C87='Auto Responses'!$J$5,VLOOKUP($A87,Questions!$A$2:$X$333,18,0)&amp;"",VLOOKUP($A87,Questions!$A$2:$X$333,15,0)&amp;"")))</f>
        <v>Briefly outline relevant processes.</v>
      </c>
      <c r="F87" s="204" t="str">
        <f>VLOOKUP($A87,'Privacy Analyst Evaluation'!$A$46:$F$120,6,0)&amp;""</f>
        <v/>
      </c>
      <c r="H87" s="35"/>
    </row>
    <row r="88" spans="1:8" s="1" customFormat="1" ht="111" thickBot="1" x14ac:dyDescent="0.3">
      <c r="A88" s="19" t="s">
        <v>1049</v>
      </c>
      <c r="B88" s="18" t="str">
        <f>VLOOKUP($A88,Questions!$A$2:$X$333,2,0)</f>
        <v>Do you have a process to review code for ethical considerations?</v>
      </c>
      <c r="C88" s="21" t="s">
        <v>148</v>
      </c>
      <c r="D88" s="326" t="s">
        <v>1978</v>
      </c>
      <c r="E88" s="167" t="str">
        <f>IF($C88='Auto Responses'!$J$3,VLOOKUP($A88,Questions!$A$2:$X$333,17,0)&amp;"",IF($C88='Auto Responses'!$J$4,VLOOKUP($A88,Questions!$A$2:$X$333,16,0)&amp;"",VLOOKUP($A88,Questions!$A$2:$X$333,15,0)&amp;""))</f>
        <v/>
      </c>
      <c r="F88" s="204" t="str">
        <f>VLOOKUP($A88,'Privacy Analyst Evaluation'!$A$46:$F$120,6,0)&amp;""</f>
        <v/>
      </c>
      <c r="G88" s="238" t="s">
        <v>1449</v>
      </c>
      <c r="H88" s="35"/>
    </row>
    <row r="89" spans="1:8" s="1" customFormat="1" ht="37.35" customHeight="1" thickBot="1" x14ac:dyDescent="0.3">
      <c r="A89" s="63" t="str">
        <f>VLOOKUP(LEFT($A90,4),'Auto Responses'!$N$4:$O$38,2,0)&amp;""</f>
        <v xml:space="preserve"> Privacy and AI</v>
      </c>
      <c r="B89" s="22"/>
      <c r="C89" s="13" t="s">
        <v>1497</v>
      </c>
      <c r="D89" s="13" t="s">
        <v>72</v>
      </c>
      <c r="E89" s="31" t="s">
        <v>848</v>
      </c>
      <c r="F89" s="202" t="s">
        <v>849</v>
      </c>
      <c r="H89" s="35"/>
    </row>
    <row r="90" spans="1:8" s="1" customFormat="1" ht="96.6" x14ac:dyDescent="0.25">
      <c r="A90" s="19" t="s">
        <v>1050</v>
      </c>
      <c r="B90" s="18" t="str">
        <f>VLOOKUP($A90,Questions!$A$2:$X$333,2,0)</f>
        <v>Does your service use AI for the processing of institutional data?</v>
      </c>
      <c r="C90" s="21" t="s">
        <v>40</v>
      </c>
      <c r="D90" s="326" t="s">
        <v>1979</v>
      </c>
      <c r="E90" s="167" t="str">
        <f>IF($C$19='Auto Responses'!$J$4,'Auto Responses'!$A$6,IF($C90='Auto Responses'!$J$3,VLOOKUP($A90,Questions!$A$2:$X$333,17,0)&amp;"",IF($C90='Auto Responses'!$J$4,VLOOKUP($A90,Questions!$A$2:$X$333,16,0)&amp;"",IF($C90='Auto Responses'!$J$5,VLOOKUP($A90,Questions!$A$2:$X$333,18,0)&amp;"",VLOOKUP($A90,Questions!$A$2:$X$333,15,0)&amp;""))))</f>
        <v>Describe how your service uses AI to process institutional data. Include the types of data involved, the purpose of AI usage, and any decision-making roles AI plays.</v>
      </c>
      <c r="F90" s="204" t="str">
        <f>VLOOKUP($A90,'Privacy Analyst Evaluation'!$A$46:$F$120,6,0)&amp;""</f>
        <v/>
      </c>
      <c r="H90" s="35"/>
    </row>
    <row r="91" spans="1:8" s="1" customFormat="1" ht="138" x14ac:dyDescent="0.25">
      <c r="A91" s="19" t="s">
        <v>1051</v>
      </c>
      <c r="B91" s="18" t="str">
        <f>VLOOKUP($A91,Questions!$A$2:$X$333,2,0)</f>
        <v>Is any institutional data retained in AI processing?*</v>
      </c>
      <c r="C91" s="21" t="s">
        <v>40</v>
      </c>
      <c r="D91" s="326" t="s">
        <v>1980</v>
      </c>
      <c r="E91" s="167" t="str">
        <f>IF($C$19='Auto Responses'!$J$4,'Auto Responses'!$A$6,IF($C91='Auto Responses'!$J$3,VLOOKUP($A91,Questions!$A$2:$X$333,17,0)&amp;"",IF($C91='Auto Responses'!$J$4,VLOOKUP($A91,Questions!$A$2:$X$333,16,0)&amp;"",IF($C91='Auto Responses'!$J$5,VLOOKUP($A91,Questions!$A$2:$X$333,18,0)&amp;"",VLOOKUP($A91,Questions!$A$2:$X$333,15,0)&amp;""))))</f>
        <v>Specify what data is retained, for how long, and how it is protected.</v>
      </c>
      <c r="F91" s="204" t="str">
        <f>VLOOKUP($A91,'Privacy Analyst Evaluation'!$A$46:$F$120,6,0)&amp;""</f>
        <v/>
      </c>
      <c r="H91" s="35"/>
    </row>
    <row r="92" spans="1:8" s="1" customFormat="1" ht="124.2" x14ac:dyDescent="0.25">
      <c r="A92" s="19" t="s">
        <v>773</v>
      </c>
      <c r="B92" s="18" t="str">
        <f>VLOOKUP($A92,Questions!$A$2:$X$333,2,0)</f>
        <v>Do you have agreements in place with third parties or subprocessors regarding the protection of customer data and use of AI?*</v>
      </c>
      <c r="C92" s="21" t="s">
        <v>40</v>
      </c>
      <c r="D92" s="326" t="s">
        <v>1981</v>
      </c>
      <c r="E92" s="167" t="str">
        <f>IF($C$19='Auto Responses'!$J$4,'Auto Responses'!$A$6,IF($C92='Auto Responses'!$J$3,VLOOKUP($A92,Questions!$A$2:$X$333,17,0)&amp;"",IF($C92='Auto Responses'!$J$4,VLOOKUP($A92,Questions!$A$2:$X$333,16,0)&amp;"",IF($C92='Auto Responses'!$J$5,VLOOKUP($A92,Questions!$A$2:$X$333,18,0)&amp;"",VLOOKUP($A92,Questions!$A$2:$X$333,15,0)&amp;""))))</f>
        <v>List all subprocessors and describe the agreements in place regarding AI and data protection.</v>
      </c>
      <c r="F92" s="204" t="str">
        <f>VLOOKUP($A92,'Privacy Analyst Evaluation'!$A$46:$F$120,6,0)&amp;""</f>
        <v/>
      </c>
      <c r="H92" s="35"/>
    </row>
    <row r="93" spans="1:8" s="1" customFormat="1" ht="82.8" x14ac:dyDescent="0.25">
      <c r="A93" s="19" t="s">
        <v>775</v>
      </c>
      <c r="B93" s="18" t="str">
        <f>VLOOKUP($A93,Questions!$A$2:$X$333,2,0)</f>
        <v>Will institutional data be processed through a third party or subprocessor that also uses AI?</v>
      </c>
      <c r="C93" s="21" t="s">
        <v>148</v>
      </c>
      <c r="D93" s="326" t="s">
        <v>1982</v>
      </c>
      <c r="E93" s="167" t="str">
        <f>IF($C$19='Auto Responses'!$J$4,'Auto Responses'!$A$6,IF($C93='Auto Responses'!$J$3,VLOOKUP($A93,Questions!$A$2:$X$333,17,0)&amp;"",IF($C93='Auto Responses'!$J$4,VLOOKUP($A93,Questions!$A$2:$X$333,16,0)&amp;"",IF($C93='Auto Responses'!$J$5,VLOOKUP($A93,Questions!$A$2:$X$333,18,0)&amp;"",VLOOKUP($A93,Questions!$A$2:$X$333,15,0)&amp;""))))</f>
        <v>Confirm whether third-party AI use occurs. Ensure that oversight and contractual protections are in place. Clarify any unclear relationships.</v>
      </c>
      <c r="F93" s="204" t="str">
        <f>VLOOKUP($A93,'Privacy Analyst Evaluation'!$A$46:$F$120,6,0)&amp;""</f>
        <v/>
      </c>
      <c r="H93" s="35"/>
    </row>
    <row r="94" spans="1:8" s="1" customFormat="1" ht="96.6" x14ac:dyDescent="0.25">
      <c r="A94" s="19" t="s">
        <v>776</v>
      </c>
      <c r="B94" s="18" t="str">
        <f>VLOOKUP($A94,Questions!$A$2:$X$333,2,0)</f>
        <v>Is AI processing limited to fully licensed commercial enterprise AI services?</v>
      </c>
      <c r="C94" s="21" t="s">
        <v>148</v>
      </c>
      <c r="D94" s="326" t="s">
        <v>1983</v>
      </c>
      <c r="E94" s="167" t="str">
        <f>IF($C$19='Auto Responses'!$J$4,'Auto Responses'!$A$6,IF($C94='Auto Responses'!$J$3,VLOOKUP($A94,Questions!$A$2:$X$333,17,0)&amp;"",IF($C94='Auto Responses'!$J$4,VLOOKUP($A94,Questions!$A$2:$X$333,16,0)&amp;"",IF($C94='Auto Responses'!$J$5,VLOOKUP($A94,Questions!$A$2:$X$333,18,0)&amp;"",VLOOKUP($A94,Questions!$A$2:$X$333,15,0)&amp;""))))</f>
        <v>Provide names of services used and license types. Note whether open-source or experimental tools are used.</v>
      </c>
      <c r="F94" s="204" t="str">
        <f>VLOOKUP($A94,'Privacy Analyst Evaluation'!$A$46:$F$120,6,0)&amp;""</f>
        <v/>
      </c>
      <c r="H94" s="35"/>
    </row>
    <row r="95" spans="1:8" s="1" customFormat="1" ht="82.8" x14ac:dyDescent="0.25">
      <c r="A95" s="19" t="s">
        <v>778</v>
      </c>
      <c r="B95" s="18" t="str">
        <f>VLOOKUP($A95,Questions!$A$2:$X$333,2,0)</f>
        <v>Will institutional data be used or processed by any shared AI services?</v>
      </c>
      <c r="C95" s="21" t="s">
        <v>148</v>
      </c>
      <c r="D95" s="326" t="s">
        <v>1984</v>
      </c>
      <c r="E95" s="167" t="str">
        <f>IF($C$19='Auto Responses'!$J$4,'Auto Responses'!$A$6,IF($C95='Auto Responses'!$J$3,VLOOKUP($A95,Questions!$A$2:$X$333,17,0)&amp;"",IF($C95='Auto Responses'!$J$4,VLOOKUP($A95,Questions!$A$2:$X$333,16,0)&amp;"",IF($C95='Auto Responses'!$J$5,VLOOKUP($A95,Questions!$A$2:$X$333,18,0)&amp;"",VLOOKUP($A95,Questions!$A$2:$X$333,15,0)&amp;""))))</f>
        <v>Provide detailed response to the type of data needed for the AI service to function appropriately, the sources of the data, and whether any data shared with the AI service comes from data sources outside the institution.</v>
      </c>
      <c r="F95" s="204" t="str">
        <f>VLOOKUP($A95,'Privacy Analyst Evaluation'!$A$46:$F$120,6,0)&amp;""</f>
        <v/>
      </c>
      <c r="H95" s="35"/>
    </row>
    <row r="96" spans="1:8" s="1" customFormat="1" ht="156" customHeight="1" x14ac:dyDescent="0.25">
      <c r="A96" s="19" t="s">
        <v>779</v>
      </c>
      <c r="B96" s="18" t="str">
        <f>VLOOKUP($A96,Questions!$A$2:$X$333,2,0)</f>
        <v>Do you have safeguards in place to protect institutional data and data privacy from unintended AI queries or processing?</v>
      </c>
      <c r="C96" s="21" t="s">
        <v>40</v>
      </c>
      <c r="D96" s="326" t="s">
        <v>1985</v>
      </c>
      <c r="E96" s="167" t="str">
        <f>IF($C$19='Auto Responses'!$J$4,'Auto Responses'!$A$6,IF($C96='Auto Responses'!$J$3,VLOOKUP($A96,Questions!$A$2:$X$333,17,0)&amp;"",IF($C96='Auto Responses'!$J$4,VLOOKUP($A96,Questions!$A$2:$X$333,16,0)&amp;"",IF($C96='Auto Responses'!$J$5,VLOOKUP($A96,Questions!$A$2:$X$333,18,0)&amp;"",VLOOKUP($A96,Questions!$A$2:$X$333,15,0)&amp;""))))</f>
        <v>Explain any data minimization processes used to exclude institutional data from AI algorithm or training, etc.</v>
      </c>
      <c r="F96" s="204" t="str">
        <f>VLOOKUP($A96,'Privacy Analyst Evaluation'!$A$46:$F$120,6,0)&amp;""</f>
        <v/>
      </c>
      <c r="H96" s="35"/>
    </row>
    <row r="97" spans="1:11" s="1" customFormat="1" ht="165.6" customHeight="1" x14ac:dyDescent="0.25">
      <c r="A97" s="19" t="s">
        <v>780</v>
      </c>
      <c r="B97" s="18" t="str">
        <f>VLOOKUP($A97,Questions!$A$2:$X$333,2,0)</f>
        <v>Do you provide choice to the user to opt out of AI use?</v>
      </c>
      <c r="C97" s="21" t="s">
        <v>40</v>
      </c>
      <c r="D97" s="326" t="s">
        <v>1986</v>
      </c>
      <c r="E97" s="167" t="str">
        <f>IF($C$19='Auto Responses'!$J$4,'Auto Responses'!$A$6,IF($C97='Auto Responses'!$J$3,VLOOKUP($A97,Questions!$A$2:$X$333,17,0)&amp;"",IF($C97='Auto Responses'!$J$4,VLOOKUP($A97,Questions!$A$2:$X$333,16,0)&amp;"",IF($C97='Auto Responses'!$J$5,VLOOKUP($A97,Questions!$A$2:$X$333,18,0)&amp;"",VLOOKUP($A97,Questions!$A$2:$X$333,15,0)&amp;""))))</f>
        <v>Provide the language used for a user to opt-out or consent to the use of AI</v>
      </c>
      <c r="F97" s="204" t="str">
        <f>VLOOKUP($A97,'Privacy Analyst Evaluation'!$A$46:$F$120,6,0)&amp;""</f>
        <v/>
      </c>
      <c r="G97" s="238" t="s">
        <v>1449</v>
      </c>
      <c r="H97" s="35"/>
    </row>
    <row r="98" spans="1:11" s="1" customFormat="1" ht="44.25" customHeight="1" x14ac:dyDescent="0.25">
      <c r="A98" s="267" t="s">
        <v>1507</v>
      </c>
      <c r="C98" s="8"/>
      <c r="D98" s="9"/>
      <c r="E98" s="40"/>
      <c r="F98" s="196"/>
      <c r="H98" s="35"/>
    </row>
    <row r="99" spans="1:11" s="1" customFormat="1" ht="15" hidden="1" customHeight="1" x14ac:dyDescent="0.25">
      <c r="A99"/>
      <c r="C99" s="8"/>
      <c r="D99" s="9"/>
      <c r="E99" s="40"/>
      <c r="F99" s="196"/>
      <c r="H99" s="35"/>
    </row>
    <row r="100" spans="1:11" ht="15" hidden="1" customHeight="1" x14ac:dyDescent="0.25">
      <c r="A100" s="1"/>
      <c r="B100" s="8"/>
      <c r="C100" s="71"/>
      <c r="D100" s="10"/>
      <c r="E100" s="41"/>
      <c r="G100" s="35"/>
      <c r="H100" s="1"/>
      <c r="K100"/>
    </row>
    <row r="101" spans="1:11" ht="0" hidden="1" customHeight="1" x14ac:dyDescent="0.25">
      <c r="A101" s="19" t="e">
        <f>#REF!</f>
        <v>#REF!</v>
      </c>
    </row>
    <row r="102" spans="1:11" s="1" customFormat="1" ht="0" hidden="1" customHeight="1" x14ac:dyDescent="0.25">
      <c r="A102" s="19" t="e">
        <f>#REF!</f>
        <v>#REF!</v>
      </c>
      <c r="C102" s="8"/>
      <c r="D102" s="9"/>
      <c r="E102" s="40"/>
      <c r="F102" s="196"/>
      <c r="H102" s="35"/>
    </row>
    <row r="103" spans="1:11" s="1" customFormat="1" ht="0" hidden="1" customHeight="1" x14ac:dyDescent="0.25">
      <c r="A103" s="19" t="e">
        <f>#REF!</f>
        <v>#REF!</v>
      </c>
      <c r="C103" s="8"/>
      <c r="D103" s="9"/>
      <c r="E103" s="40"/>
      <c r="F103" s="196"/>
      <c r="H103" s="35"/>
    </row>
    <row r="104" spans="1:11" s="1" customFormat="1" ht="0" hidden="1" customHeight="1" x14ac:dyDescent="0.25">
      <c r="A104" s="19" t="e">
        <f>#REF!</f>
        <v>#REF!</v>
      </c>
      <c r="C104" s="8"/>
      <c r="D104" s="9"/>
      <c r="E104" s="40"/>
      <c r="F104" s="196"/>
      <c r="H104" s="35"/>
    </row>
    <row r="105" spans="1:11" s="1" customFormat="1" ht="0" hidden="1" customHeight="1" x14ac:dyDescent="0.25">
      <c r="A105" s="19" t="e">
        <f>#REF!</f>
        <v>#REF!</v>
      </c>
      <c r="C105" s="8"/>
      <c r="D105" s="9"/>
      <c r="E105" s="40"/>
      <c r="F105" s="196"/>
      <c r="H105" s="35"/>
    </row>
    <row r="106" spans="1:11" s="1" customFormat="1" ht="0" hidden="1" customHeight="1" x14ac:dyDescent="0.25">
      <c r="A106" s="19" t="e">
        <f>#REF!</f>
        <v>#REF!</v>
      </c>
      <c r="C106" s="8"/>
      <c r="D106" s="9"/>
      <c r="E106" s="40"/>
      <c r="F106" s="196"/>
      <c r="H106" s="35"/>
    </row>
    <row r="107" spans="1:11" s="1" customFormat="1" ht="0" hidden="1" customHeight="1" x14ac:dyDescent="0.25">
      <c r="A107" s="19" t="e">
        <f>#REF!</f>
        <v>#REF!</v>
      </c>
      <c r="C107" s="8"/>
      <c r="D107" s="9"/>
      <c r="E107" s="40"/>
      <c r="F107" s="196"/>
      <c r="H107" s="35"/>
    </row>
    <row r="108" spans="1:11" s="1" customFormat="1" ht="0" hidden="1" customHeight="1" x14ac:dyDescent="0.25">
      <c r="A108"/>
      <c r="C108" s="8"/>
      <c r="D108" s="9"/>
      <c r="E108" s="40"/>
      <c r="F108" s="196"/>
      <c r="H108" s="35"/>
    </row>
    <row r="109" spans="1:11" s="1" customFormat="1" ht="0" hidden="1" customHeight="1" x14ac:dyDescent="0.25">
      <c r="A109"/>
      <c r="C109" s="8"/>
      <c r="D109" s="9"/>
      <c r="E109" s="40"/>
      <c r="F109" s="196"/>
      <c r="H109" s="35"/>
    </row>
    <row r="110" spans="1:11" s="1" customFormat="1" ht="0" hidden="1" customHeight="1" x14ac:dyDescent="0.25">
      <c r="A110"/>
      <c r="C110" s="8"/>
      <c r="D110" s="9"/>
      <c r="E110" s="40"/>
      <c r="F110" s="196"/>
      <c r="H110" s="35"/>
    </row>
    <row r="111" spans="1:11" s="1" customFormat="1" ht="0" hidden="1" customHeight="1" x14ac:dyDescent="0.25">
      <c r="A111"/>
      <c r="C111" s="8"/>
      <c r="D111" s="9"/>
      <c r="E111" s="40"/>
      <c r="F111" s="196"/>
      <c r="H111" s="35"/>
    </row>
    <row r="112" spans="1:11" s="1" customFormat="1" ht="0" hidden="1" customHeight="1" x14ac:dyDescent="0.25">
      <c r="A112"/>
      <c r="C112" s="8"/>
      <c r="D112" s="9"/>
      <c r="E112" s="40"/>
      <c r="F112" s="196"/>
      <c r="H112" s="35"/>
    </row>
    <row r="113" spans="1:8" s="1" customFormat="1" ht="0" hidden="1" customHeight="1" x14ac:dyDescent="0.25">
      <c r="A113"/>
      <c r="C113" s="8"/>
      <c r="D113" s="9"/>
      <c r="E113" s="40"/>
      <c r="F113" s="196"/>
      <c r="H113" s="35"/>
    </row>
    <row r="114" spans="1:8" s="1" customFormat="1" ht="0" hidden="1" customHeight="1" x14ac:dyDescent="0.25">
      <c r="A114"/>
      <c r="C114" s="8"/>
      <c r="D114" s="9"/>
      <c r="E114" s="40"/>
      <c r="F114" s="196"/>
      <c r="H114" s="35"/>
    </row>
    <row r="115" spans="1:8" s="1" customFormat="1" ht="0" hidden="1" customHeight="1" x14ac:dyDescent="0.25">
      <c r="A115"/>
      <c r="C115" s="8"/>
      <c r="D115" s="9"/>
      <c r="E115" s="40"/>
      <c r="F115" s="196"/>
      <c r="H115" s="35"/>
    </row>
    <row r="116" spans="1:8" s="1" customFormat="1" ht="0" hidden="1" customHeight="1" x14ac:dyDescent="0.25">
      <c r="A116"/>
      <c r="C116" s="8"/>
      <c r="D116" s="9"/>
      <c r="E116" s="40"/>
      <c r="F116" s="196"/>
      <c r="H116" s="35"/>
    </row>
    <row r="117" spans="1:8" s="1" customFormat="1" ht="0" hidden="1" customHeight="1" x14ac:dyDescent="0.25">
      <c r="A117"/>
      <c r="C117" s="8"/>
      <c r="D117" s="9"/>
      <c r="E117" s="40"/>
      <c r="F117" s="196"/>
      <c r="H117" s="35"/>
    </row>
  </sheetData>
  <phoneticPr fontId="31" type="noConversion"/>
  <dataValidations count="3">
    <dataValidation allowBlank="1" showInputMessage="1" showErrorMessage="1" promptTitle="Warning!" prompt="The HECVAT is built using a number of complex formulas. Editing this cell can break the functionality of the tool. " sqref="C2 A3:A98 C18:D18 C23:D23 C29:D29 C34:D34 C38:D38 C41:D41 C44:D44 C53:D53 C67:D67 C73:D73 C89:D89 C4:F12 D2:F3 B2:B98 E18:F98" xr:uid="{F8AA2BEC-624D-4324-B4BB-6EDEF05B99D0}"/>
    <dataValidation allowBlank="1" showInputMessage="1" showErrorMessage="1" prompt="This answer has been populated from the &quot;START HERE&quot; tab and does not need to be re-entered." sqref="C3 C13:C17 C19:C22" xr:uid="{CCCA180B-093F-4021-8BA7-878B4FE495EE}"/>
    <dataValidation allowBlank="1" showInputMessage="1" showErrorMessage="1" prompt="This cell should be left blank. Input your answer in column C." sqref="D28 D31" xr:uid="{01589E43-4C2A-48D7-ADE5-F95ABF77015D}"/>
  </dataValidations>
  <hyperlinks>
    <hyperlink ref="A11" r:id="rId1" display="http://www.educause.edu/HECVAT" xr:uid="{78E2AF21-FDB2-45BF-A77C-5149A25000FB}"/>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DF7562B-1F06-4B32-8D46-242693F672D2}">
          <x14:formula1>
            <xm:f>'Auto Responses'!$J$3:$J$4</xm:f>
          </x14:formula1>
          <xm:sqref>C24:C27 C68:C71 C32:C33 C54:C60 C74:C75 C45:C52 C42:C43 C88 C30 C62 C64:C66</xm:sqref>
        </x14:dataValidation>
        <x14:dataValidation type="list" allowBlank="1" showInputMessage="1" showErrorMessage="1" xr:uid="{A7CD7EA2-4712-436A-ABAD-79A46B9B4A1C}">
          <x14:formula1>
            <xm:f>'Auto Responses'!$J$3:$J$5</xm:f>
          </x14:formula1>
          <xm:sqref>C72 C61 C90:C97 C39:C40 C76:C87 C35:C37 C63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E35C-F7CF-4FEE-8A9D-D66B63E8CBBB}">
  <sheetPr>
    <tabColor rgb="FFE0B233"/>
  </sheetPr>
  <dimension ref="A1:N363"/>
  <sheetViews>
    <sheetView showGridLines="0" showZeros="0" topLeftCell="A202" zoomScale="80" zoomScaleNormal="80" workbookViewId="0">
      <selection activeCell="A202" sqref="A202"/>
    </sheetView>
  </sheetViews>
  <sheetFormatPr defaultColWidth="0" defaultRowHeight="0" customHeight="1" zeroHeight="1" x14ac:dyDescent="0.3"/>
  <cols>
    <col min="1" max="1" width="18.765625" style="55" customWidth="1"/>
    <col min="2" max="2" width="57.61328125" style="55" customWidth="1"/>
    <col min="3" max="9" width="19.61328125" style="55" customWidth="1"/>
    <col min="10" max="10" width="19.69140625" style="55" bestFit="1" customWidth="1"/>
    <col min="11" max="11" width="17.07421875" style="55" customWidth="1"/>
    <col min="12" max="12" width="8.4609375" style="55" customWidth="1"/>
    <col min="13" max="13" width="0" style="55" hidden="1" customWidth="1"/>
    <col min="14" max="16384" width="8.4609375" style="55" hidden="1"/>
  </cols>
  <sheetData>
    <row r="1" spans="1:10" ht="0" hidden="1" customHeight="1" x14ac:dyDescent="0.3">
      <c r="A1" s="55" t="s">
        <v>1451</v>
      </c>
    </row>
    <row r="2" spans="1:10" ht="36" customHeight="1" x14ac:dyDescent="0.3">
      <c r="A2" s="176" t="s">
        <v>1517</v>
      </c>
      <c r="B2" s="173"/>
      <c r="C2" s="173"/>
      <c r="D2" s="173"/>
      <c r="E2" s="173"/>
      <c r="F2" s="173"/>
      <c r="G2" s="173"/>
      <c r="H2" s="173"/>
      <c r="I2" s="206" t="str">
        <f>'Auto Responses'!$A$36</f>
        <v>Version 4.1.5</v>
      </c>
      <c r="J2" s="174"/>
    </row>
    <row r="3" spans="1:10" ht="25.5" customHeight="1" x14ac:dyDescent="0.3">
      <c r="A3" s="98"/>
      <c r="B3" s="98"/>
      <c r="C3" s="98"/>
      <c r="D3" s="98"/>
      <c r="E3" s="98"/>
      <c r="F3" s="98"/>
      <c r="G3" s="98"/>
      <c r="H3" s="98"/>
      <c r="I3" s="98"/>
      <c r="J3" s="98"/>
    </row>
    <row r="4" spans="1:10" ht="36" customHeight="1" x14ac:dyDescent="0.3">
      <c r="A4" s="99" t="s">
        <v>866</v>
      </c>
      <c r="B4" s="100"/>
      <c r="C4" s="100"/>
      <c r="D4" s="100"/>
      <c r="E4" s="100"/>
      <c r="F4" s="100"/>
      <c r="G4" s="100"/>
      <c r="H4" s="100"/>
      <c r="I4" s="100"/>
      <c r="J4" s="100"/>
    </row>
    <row r="5" spans="1:10" s="271" customFormat="1" ht="19.5" customHeight="1" x14ac:dyDescent="0.3">
      <c r="A5" s="251" t="str">
        <f>HLOOKUP($A$4,'Auto Responses'!$F$2:$F$7,2,0)&amp;""</f>
        <v>1. Upon initial review, you can check the "Non-Negotiable" box by any question to compile a report of questions that may prohibit a full review.</v>
      </c>
      <c r="B5" s="251"/>
      <c r="C5" s="251"/>
      <c r="D5" s="251"/>
      <c r="E5" s="251"/>
      <c r="F5" s="251"/>
      <c r="G5" s="251"/>
      <c r="H5" s="251"/>
      <c r="I5" s="251"/>
      <c r="J5" s="251"/>
    </row>
    <row r="6" spans="1:10" s="271" customFormat="1" ht="19.5" customHeight="1" x14ac:dyDescent="0.3">
      <c r="A6" s="251" t="str">
        <f>HLOOKUP($A$4,'Auto Responses'!$F$2:$F$7,3,0)&amp;""</f>
        <v>2. When evaluating an answer, a default importance level has been set. You can use the "Importance Override" dropdown to override the default and adjust the value of the question.</v>
      </c>
      <c r="B6" s="251"/>
      <c r="C6" s="251"/>
      <c r="D6" s="251"/>
      <c r="E6" s="251"/>
      <c r="F6" s="251"/>
      <c r="G6" s="251"/>
      <c r="H6" s="251"/>
      <c r="I6" s="251"/>
      <c r="J6" s="251"/>
    </row>
    <row r="7" spans="1:10" s="271" customFormat="1" ht="19.5" customHeight="1" x14ac:dyDescent="0.3">
      <c r="A7" s="251" t="str">
        <f>HLOOKUP($A$4,'Auto Responses'!$F$2:$F$7,4,0)&amp;""</f>
        <v>3. For questions that are qualitative or for which you disagree with the preferred response, make a selection in the "Compliant Override" dropdown to adjust the question's impact on the score.</v>
      </c>
      <c r="B7" s="251"/>
      <c r="C7" s="251"/>
      <c r="D7" s="251"/>
      <c r="E7" s="251"/>
      <c r="F7" s="251"/>
      <c r="G7" s="251"/>
      <c r="H7" s="251"/>
      <c r="I7" s="251"/>
      <c r="J7" s="251"/>
    </row>
    <row r="8" spans="1:10" s="271" customFormat="1" ht="19.5" customHeight="1" x14ac:dyDescent="0.3">
      <c r="A8" s="251" t="str">
        <f>HLOOKUP($A$4,'Auto Responses'!$F$2:$F$7,5,0)&amp;""</f>
        <v xml:space="preserve">4. Each worksheet shows a report for that section. See the "Analyst Report" sheet for a full report of all sections. </v>
      </c>
      <c r="B8" s="251"/>
      <c r="C8" s="251"/>
      <c r="D8" s="251"/>
      <c r="E8" s="251"/>
      <c r="F8" s="251"/>
      <c r="G8" s="251"/>
      <c r="H8" s="251"/>
      <c r="I8" s="251"/>
      <c r="J8" s="251"/>
    </row>
    <row r="9" spans="1:10" s="271" customFormat="1" ht="19.5" customHeight="1" x14ac:dyDescent="0.3">
      <c r="A9" s="251" t="str">
        <f>HLOOKUP($A$4,'Auto Responses'!$F$2:$F$7,6,0)&amp;""</f>
        <v xml:space="preserve">5. If you are evaluating a question that appears in an earlier section, the Importance and Compliant Override cannot be changed but additional notes can be added. </v>
      </c>
      <c r="B9" s="251"/>
      <c r="C9" s="251"/>
      <c r="D9" s="251"/>
      <c r="E9" s="251"/>
      <c r="F9" s="251"/>
      <c r="G9" s="251"/>
      <c r="H9" s="251"/>
      <c r="I9" s="251"/>
      <c r="J9" s="251"/>
    </row>
    <row r="10" spans="1:10" ht="19.5" customHeight="1" thickBot="1" x14ac:dyDescent="0.35">
      <c r="A10" s="252" t="str">
        <f>HLOOKUP($A$4,'Auto Responses'!$F$2:$F$8,7,0)&amp;""</f>
        <v>For full instructions, please visit EDUCAUSE.edu/HECVAT</v>
      </c>
      <c r="B10" s="61"/>
      <c r="C10" s="61"/>
      <c r="D10" s="61"/>
      <c r="E10" s="61"/>
      <c r="F10" s="61"/>
      <c r="G10" s="61"/>
      <c r="H10" s="61"/>
      <c r="I10" s="61"/>
      <c r="J10" s="61"/>
    </row>
    <row r="11" spans="1:10" s="89" customFormat="1" ht="25.5" customHeight="1" x14ac:dyDescent="0.3">
      <c r="A11" s="156" t="str">
        <f>'START HERE'!$B$13</f>
        <v>Solution Provider Name</v>
      </c>
      <c r="B11" s="142"/>
      <c r="C11" s="136" t="str">
        <f>VLOOKUP($A11,'START HERE'!$B$13:$C$21,2,0)&amp;""</f>
        <v>Cursive Technology Inc</v>
      </c>
      <c r="D11" s="137"/>
      <c r="E11" s="211"/>
      <c r="F11" s="214"/>
      <c r="G11" s="90"/>
      <c r="H11" s="95"/>
      <c r="I11" s="90"/>
      <c r="J11" s="90"/>
    </row>
    <row r="12" spans="1:10" s="89" customFormat="1" ht="25.5" customHeight="1" x14ac:dyDescent="0.3">
      <c r="A12" s="157" t="str">
        <f>'START HERE'!$B$16</f>
        <v>Solution Provider Contact Name</v>
      </c>
      <c r="B12" s="143"/>
      <c r="C12" s="135" t="str">
        <f>VLOOKUP($A12,'START HERE'!$B$13:$C$21,2,0)&amp;""</f>
        <v>Joseph Thibault</v>
      </c>
      <c r="D12" s="97"/>
      <c r="E12" s="212"/>
      <c r="F12" s="214"/>
      <c r="G12" s="90"/>
      <c r="H12" s="95"/>
      <c r="I12" s="90"/>
      <c r="J12" s="90"/>
    </row>
    <row r="13" spans="1:10" s="89" customFormat="1" ht="25.5" customHeight="1" x14ac:dyDescent="0.3">
      <c r="A13" s="157" t="str">
        <f>'START HERE'!$B$17</f>
        <v>Solution Provider Contact Title</v>
      </c>
      <c r="B13" s="143"/>
      <c r="C13" s="135" t="str">
        <f>VLOOKUP($A13,'START HERE'!$B$13:$C$21,2,0)&amp;""</f>
        <v>CEO</v>
      </c>
      <c r="D13" s="97"/>
      <c r="E13" s="212"/>
      <c r="F13" s="214"/>
      <c r="G13" s="90"/>
      <c r="H13" s="95"/>
      <c r="I13" s="90"/>
      <c r="J13" s="90"/>
    </row>
    <row r="14" spans="1:10" s="89" customFormat="1" ht="25.5" customHeight="1" x14ac:dyDescent="0.3">
      <c r="A14" s="157" t="str">
        <f>'START HERE'!$B$18</f>
        <v>Solution Provider Contact Email</v>
      </c>
      <c r="B14" s="143"/>
      <c r="C14" s="135" t="str">
        <f>VLOOKUP($A14,'START HERE'!$B$13:$C$21,2,0)&amp;""</f>
        <v>joe@cursivetechnology.com</v>
      </c>
      <c r="D14" s="97"/>
      <c r="E14" s="212"/>
      <c r="F14" s="215"/>
      <c r="G14" s="134"/>
      <c r="H14" s="134"/>
      <c r="I14" s="134"/>
      <c r="J14" s="134"/>
    </row>
    <row r="15" spans="1:10" s="89" customFormat="1" ht="25.5" customHeight="1" x14ac:dyDescent="0.3">
      <c r="A15" s="157" t="str">
        <f>'START HERE'!$B$14</f>
        <v>Solution Name</v>
      </c>
      <c r="B15" s="143"/>
      <c r="C15" s="135" t="str">
        <f>VLOOKUP($A15,'START HERE'!$B$13:$C$21,2,0)&amp;""</f>
        <v>TypeID</v>
      </c>
      <c r="D15" s="97"/>
      <c r="E15" s="212"/>
      <c r="F15" s="215"/>
      <c r="G15" s="134"/>
      <c r="H15" s="134"/>
      <c r="I15" s="134"/>
      <c r="J15" s="134"/>
    </row>
    <row r="16" spans="1:10" s="89" customFormat="1" ht="25.5" customHeight="1" x14ac:dyDescent="0.3">
      <c r="A16" s="157" t="str">
        <f>'START HERE'!$B$15</f>
        <v>Solution Description</v>
      </c>
      <c r="B16" s="143"/>
      <c r="C16" s="135" t="str">
        <f>VLOOKUP($A16,'START HERE'!$B$13:$C$21,2,0)&amp;""</f>
        <v>Continuous authorship verification and writing analytics using typing biometrics. Native Moodle plugin, browser extension for any LMS, WordPress-based authorship report and verification system.</v>
      </c>
      <c r="D16" s="97"/>
      <c r="E16" s="212"/>
      <c r="F16" s="215"/>
      <c r="G16" s="134"/>
      <c r="H16" s="134"/>
      <c r="I16" s="134"/>
      <c r="J16" s="134"/>
    </row>
    <row r="17" spans="1:11" s="89" customFormat="1" ht="25.5" customHeight="1" thickBot="1" x14ac:dyDescent="0.35">
      <c r="A17" s="158" t="s">
        <v>948</v>
      </c>
      <c r="B17" s="144"/>
      <c r="C17" s="338">
        <f>'START HERE'!$C$3</f>
        <v>0</v>
      </c>
      <c r="D17" s="140"/>
      <c r="E17" s="213"/>
      <c r="F17" s="215"/>
      <c r="G17" s="134"/>
      <c r="H17" s="134"/>
      <c r="I17" s="134"/>
      <c r="J17" s="134"/>
    </row>
    <row r="18" spans="1:11" s="89" customFormat="1" ht="24.75" customHeight="1" x14ac:dyDescent="0.3">
      <c r="A18" s="90"/>
      <c r="B18" s="90"/>
      <c r="C18" s="259"/>
      <c r="D18" s="96"/>
      <c r="E18" s="90"/>
      <c r="F18" s="90"/>
      <c r="G18" s="90"/>
      <c r="H18" s="91"/>
      <c r="I18" s="91"/>
      <c r="J18" s="91"/>
    </row>
    <row r="19" spans="1:11" s="87" customFormat="1" ht="24" customHeight="1" thickBot="1" x14ac:dyDescent="0.35">
      <c r="A19" s="367"/>
      <c r="B19" s="367"/>
      <c r="C19" s="367"/>
      <c r="D19" s="88"/>
    </row>
    <row r="20" spans="1:11" ht="30" customHeight="1" thickBot="1" x14ac:dyDescent="0.35">
      <c r="A20" s="272" t="s">
        <v>1510</v>
      </c>
      <c r="B20" s="83" t="s">
        <v>947</v>
      </c>
      <c r="C20" s="110" t="s">
        <v>1511</v>
      </c>
      <c r="D20" s="82" t="s">
        <v>1512</v>
      </c>
      <c r="E20" s="109" t="s">
        <v>946</v>
      </c>
      <c r="F20" s="109" t="s">
        <v>945</v>
      </c>
      <c r="G20" s="125" t="s">
        <v>1862</v>
      </c>
      <c r="H20" s="126"/>
      <c r="I20" s="127"/>
    </row>
    <row r="21" spans="1:11" s="84" customFormat="1" ht="40.5" customHeight="1" x14ac:dyDescent="0.3">
      <c r="B21" s="85" t="str">
        <f>VLOOKUP($K21,'Auto Responses'!$N$4:$O$38,2,0)&amp;""</f>
        <v xml:space="preserve"> Company Information</v>
      </c>
      <c r="C21" s="117" t="b">
        <v>1</v>
      </c>
      <c r="D21" s="111">
        <f>IF($C21=TRUE,SUMIF('(backend scoring)'!$B$3:$B$333,$K21,'(backend scoring)'!$O$3:$O$333),"")</f>
        <v>20</v>
      </c>
      <c r="E21" s="118">
        <f>IF($C21=TRUE,SUMIF('(backend scoring)'!$B$3:$B$333,$K21,'(backend scoring)'!$P$3:$P$333),"")</f>
        <v>15</v>
      </c>
      <c r="F21" s="146">
        <f>IFERROR($E21/$D21,'Auto Responses'!$J$5)</f>
        <v>0.75</v>
      </c>
      <c r="G21" s="222" t="str">
        <f>$G$20&amp;B21</f>
        <v>Jump to Company Information</v>
      </c>
      <c r="H21" s="120"/>
      <c r="I21" s="122"/>
      <c r="K21" s="357" t="s">
        <v>876</v>
      </c>
    </row>
    <row r="22" spans="1:11" s="84" customFormat="1" ht="40.5" customHeight="1" x14ac:dyDescent="0.3">
      <c r="A22" s="265"/>
      <c r="B22" s="85" t="str">
        <f>VLOOKUP($K22,'Auto Responses'!$N$4:$O$38,2,0)&amp;""</f>
        <v xml:space="preserve"> Documentation</v>
      </c>
      <c r="C22" s="117" t="b">
        <v>1</v>
      </c>
      <c r="D22" s="111">
        <f>IF($C22=TRUE,SUMIF('(backend scoring)'!$B$3:$B$333,$K22,'(backend scoring)'!$O$3:$O$333),"")</f>
        <v>90</v>
      </c>
      <c r="E22" s="118">
        <f>IF($C22=TRUE,SUMIF('(backend scoring)'!$B$3:$B$333,$K22,'(backend scoring)'!$P$3:$P$333),"")</f>
        <v>70</v>
      </c>
      <c r="F22" s="145">
        <f>IFERROR($E22/$D22,'Auto Responses'!$J$5)</f>
        <v>0.77777777777777779</v>
      </c>
      <c r="G22" s="222" t="str">
        <f t="shared" ref="G22:G37" si="0">$G$20&amp;B22</f>
        <v>Jump to Documentation</v>
      </c>
      <c r="H22" s="119"/>
      <c r="I22" s="123"/>
      <c r="K22" s="357" t="s">
        <v>880</v>
      </c>
    </row>
    <row r="23" spans="1:11" s="84" customFormat="1" ht="40.5" customHeight="1" x14ac:dyDescent="0.3">
      <c r="A23" s="265"/>
      <c r="B23" s="85" t="str">
        <f>VLOOKUP($K23,'Auto Responses'!$N$4:$O$38,2,0)&amp;""</f>
        <v xml:space="preserve"> Assessment of Third Parties</v>
      </c>
      <c r="C23" s="117" t="b">
        <v>1</v>
      </c>
      <c r="D23" s="111">
        <f>IF($C23=TRUE,SUMIF('(backend scoring)'!$B$3:$B$333,$K23,'(backend scoring)'!$O$3:$O$333),"")</f>
        <v>90</v>
      </c>
      <c r="E23" s="118">
        <f>IF($C23=TRUE,SUMIF('(backend scoring)'!$B$3:$B$333,$K23,'(backend scoring)'!$P$3:$P$333),"")</f>
        <v>60</v>
      </c>
      <c r="F23" s="145">
        <f>IFERROR($E23/$D23,'Auto Responses'!$J$5)</f>
        <v>0.66666666666666663</v>
      </c>
      <c r="G23" s="222" t="str">
        <f t="shared" si="0"/>
        <v>Jump to Assessment of Third Parties</v>
      </c>
      <c r="H23" s="119"/>
      <c r="I23" s="123"/>
      <c r="K23" s="357" t="s">
        <v>884</v>
      </c>
    </row>
    <row r="24" spans="1:11" s="84" customFormat="1" ht="40.5" customHeight="1" x14ac:dyDescent="0.3">
      <c r="B24" s="85" t="str">
        <f>VLOOKUP($K24,'Auto Responses'!$N$4:$O$38,2,0)&amp;""</f>
        <v xml:space="preserve"> Change Management</v>
      </c>
      <c r="C24" s="117" t="b">
        <v>1</v>
      </c>
      <c r="D24" s="111">
        <f>IF($C24=TRUE,SUMIF('(backend scoring)'!$B$3:$B$333,$K24,'(backend scoring)'!$O$3:$O$333),"")</f>
        <v>150</v>
      </c>
      <c r="E24" s="118">
        <f>IF($C24=TRUE,SUMIF('(backend scoring)'!$B$3:$B$333,$K24,'(backend scoring)'!$P$3:$P$333),"")</f>
        <v>150</v>
      </c>
      <c r="F24" s="145">
        <f>IFERROR($E24/$D24,'Auto Responses'!$J$5)</f>
        <v>1</v>
      </c>
      <c r="G24" s="222" t="str">
        <f t="shared" si="0"/>
        <v>Jump to Change Management</v>
      </c>
      <c r="H24" s="119"/>
      <c r="I24" s="123"/>
      <c r="K24" s="357" t="s">
        <v>891</v>
      </c>
    </row>
    <row r="25" spans="1:11" s="84" customFormat="1" ht="40.5" customHeight="1" x14ac:dyDescent="0.3">
      <c r="B25" s="85" t="str">
        <f>VLOOKUP($K25,'Auto Responses'!$N$4:$O$38,2,0)&amp;""</f>
        <v xml:space="preserve"> Policies, Processes, and Procedures</v>
      </c>
      <c r="C25" s="117" t="b">
        <v>1</v>
      </c>
      <c r="D25" s="111">
        <f>IF($C25=TRUE,SUMIF('(backend scoring)'!$B$3:$B$333,$K25,'(backend scoring)'!$O$3:$O$333),"")</f>
        <v>140</v>
      </c>
      <c r="E25" s="118">
        <f>IF($C25=TRUE,SUMIF('(backend scoring)'!$B$3:$B$333,$K25,'(backend scoring)'!$P$3:$P$333),"")</f>
        <v>140</v>
      </c>
      <c r="F25" s="145">
        <f>IFERROR($E25/$D25,'Auto Responses'!$J$5)</f>
        <v>1</v>
      </c>
      <c r="G25" s="222" t="str">
        <f t="shared" si="0"/>
        <v>Jump to Policies, Processes, and Procedures</v>
      </c>
      <c r="H25" s="119"/>
      <c r="I25" s="123"/>
      <c r="K25" s="357" t="s">
        <v>898</v>
      </c>
    </row>
    <row r="26" spans="1:11" s="84" customFormat="1" ht="40.5" customHeight="1" x14ac:dyDescent="0.3">
      <c r="B26" s="85" t="str">
        <f>VLOOKUP($K26,'Auto Responses'!$N$4:$O$38,2,0)&amp;""</f>
        <v xml:space="preserve"> Authentication, Authorization, and Account Management</v>
      </c>
      <c r="C26" s="117" t="b">
        <v>1</v>
      </c>
      <c r="D26" s="111">
        <f>IF($C26=TRUE,SUMIF('(backend scoring)'!$B$3:$B$333,$K26,'(backend scoring)'!$O$3:$O$333),"")</f>
        <v>245</v>
      </c>
      <c r="E26" s="118">
        <f>IF($C26=TRUE,SUMIF('(backend scoring)'!$B$3:$B$333,$K26,'(backend scoring)'!$P$3:$P$333),"")</f>
        <v>190</v>
      </c>
      <c r="F26" s="145">
        <f>IFERROR($E26/$D26,'Auto Responses'!$J$5)</f>
        <v>0.77551020408163263</v>
      </c>
      <c r="G26" s="222" t="str">
        <f t="shared" si="0"/>
        <v>Jump to Authentication, Authorization, and Account Management</v>
      </c>
      <c r="H26" s="119"/>
      <c r="I26" s="123"/>
      <c r="K26" s="357" t="s">
        <v>890</v>
      </c>
    </row>
    <row r="27" spans="1:11" s="84" customFormat="1" ht="40.5" customHeight="1" x14ac:dyDescent="0.3">
      <c r="B27" s="85" t="str">
        <f>VLOOKUP($K27,'Auto Responses'!$N$4:$O$38,2,0)&amp;""</f>
        <v xml:space="preserve"> Data</v>
      </c>
      <c r="C27" s="117" t="b">
        <v>1</v>
      </c>
      <c r="D27" s="111">
        <f>IF($C27=TRUE,SUMIF('(backend scoring)'!$B$3:$B$333,$K27,'(backend scoring)'!$O$3:$O$333),"")</f>
        <v>280</v>
      </c>
      <c r="E27" s="118">
        <f>IF($C27=TRUE,SUMIF('(backend scoring)'!$B$3:$B$333,$K27,'(backend scoring)'!$P$3:$P$333),"")</f>
        <v>270</v>
      </c>
      <c r="F27" s="145">
        <f>IFERROR($E27/$D27,'Auto Responses'!$J$5)</f>
        <v>0.9642857142857143</v>
      </c>
      <c r="G27" s="222" t="str">
        <f t="shared" si="0"/>
        <v>Jump to Data</v>
      </c>
      <c r="H27" s="119"/>
      <c r="I27" s="123"/>
      <c r="K27" s="357" t="s">
        <v>893</v>
      </c>
    </row>
    <row r="28" spans="1:11" s="84" customFormat="1" ht="40.5" customHeight="1" x14ac:dyDescent="0.3">
      <c r="B28" s="85" t="str">
        <f>VLOOKUP($K28,'Auto Responses'!$N$4:$O$38,2,0)&amp;""</f>
        <v xml:space="preserve"> Application/Service Security</v>
      </c>
      <c r="C28" s="117" t="b">
        <v>1</v>
      </c>
      <c r="D28" s="111">
        <f>IF($C28=TRUE,SUMIF('(backend scoring)'!$B$3:$B$333,$K28,'(backend scoring)'!$O$3:$O$333),"")</f>
        <v>195</v>
      </c>
      <c r="E28" s="118">
        <f>IF($C28=TRUE,SUMIF('(backend scoring)'!$B$3:$B$333,$K28,'(backend scoring)'!$P$3:$P$333),"")</f>
        <v>125</v>
      </c>
      <c r="F28" s="145">
        <f>IFERROR($E28/$D28,'Auto Responses'!$J$5)</f>
        <v>0.64102564102564108</v>
      </c>
      <c r="G28" s="222" t="str">
        <f t="shared" si="0"/>
        <v>Jump to Application/Service Security</v>
      </c>
      <c r="H28" s="119"/>
      <c r="I28" s="123"/>
      <c r="K28" s="357" t="s">
        <v>888</v>
      </c>
    </row>
    <row r="29" spans="1:11" s="84" customFormat="1" ht="40.5" customHeight="1" x14ac:dyDescent="0.3">
      <c r="B29" s="85" t="str">
        <f>VLOOKUP($K29,'Auto Responses'!$N$4:$O$38,2,0)&amp;""</f>
        <v xml:space="preserve"> Datacenter</v>
      </c>
      <c r="C29" s="117" t="b">
        <v>1</v>
      </c>
      <c r="D29" s="111">
        <f>IF($C29=TRUE,SUMIF('(backend scoring)'!$B$3:$B$333,$K29,'(backend scoring)'!$O$3:$O$333),"")</f>
        <v>170</v>
      </c>
      <c r="E29" s="118">
        <f>IF($C29=TRUE,SUMIF('(backend scoring)'!$B$3:$B$333,$K29,'(backend scoring)'!$P$3:$P$333),"")</f>
        <v>170</v>
      </c>
      <c r="F29" s="145">
        <f>IFERROR($E29/$D29,'Auto Responses'!$J$5)</f>
        <v>1</v>
      </c>
      <c r="G29" s="222" t="str">
        <f t="shared" si="0"/>
        <v>Jump to Datacenter</v>
      </c>
      <c r="H29" s="119"/>
      <c r="I29" s="123"/>
      <c r="K29" s="357" t="s">
        <v>895</v>
      </c>
    </row>
    <row r="30" spans="1:11" s="84" customFormat="1" ht="40.5" customHeight="1" x14ac:dyDescent="0.3">
      <c r="B30" s="85" t="str">
        <f>VLOOKUP($K30,'Auto Responses'!$N$4:$O$38,2,0)&amp;""</f>
        <v xml:space="preserve"> Firewalls, IDS, IPS, and Networking</v>
      </c>
      <c r="C30" s="117" t="b">
        <v>1</v>
      </c>
      <c r="D30" s="111">
        <f>IF($C30=TRUE,SUMIF('(backend scoring)'!$B$3:$B$333,$K30,'(backend scoring)'!$O$3:$O$333),"")</f>
        <v>145</v>
      </c>
      <c r="E30" s="118">
        <f>IF($C30=TRUE,SUMIF('(backend scoring)'!$B$3:$B$333,$K30,'(backend scoring)'!$P$3:$P$333),"")</f>
        <v>70</v>
      </c>
      <c r="F30" s="145">
        <f>IFERROR($E30/$D30,'Auto Responses'!$J$5)</f>
        <v>0.48275862068965519</v>
      </c>
      <c r="G30" s="222" t="str">
        <f t="shared" si="0"/>
        <v>Jump to Firewalls, IDS, IPS, and Networking</v>
      </c>
      <c r="H30" s="119"/>
      <c r="I30" s="123"/>
      <c r="K30" s="357" t="s">
        <v>897</v>
      </c>
    </row>
    <row r="31" spans="1:11" s="84" customFormat="1" ht="40.5" customHeight="1" x14ac:dyDescent="0.3">
      <c r="B31" s="85" t="str">
        <f>VLOOKUP($K31,'Auto Responses'!$N$4:$O$38,2,0)&amp;""</f>
        <v xml:space="preserve"> Incident Handling</v>
      </c>
      <c r="C31" s="117" t="b">
        <v>1</v>
      </c>
      <c r="D31" s="111">
        <f>IF($C31=TRUE,SUMIF('(backend scoring)'!$B$3:$B$333,$K31,'(backend scoring)'!$O$3:$O$333),"")</f>
        <v>25</v>
      </c>
      <c r="E31" s="118">
        <f>IF($C31=TRUE,SUMIF('(backend scoring)'!$B$3:$B$333,$K31,'(backend scoring)'!$P$3:$P$333),"")</f>
        <v>25</v>
      </c>
      <c r="F31" s="145">
        <f>IFERROR($E31/$D31,'Auto Responses'!$J$5)</f>
        <v>1</v>
      </c>
      <c r="G31" s="222" t="str">
        <f t="shared" si="0"/>
        <v>Jump to Incident Handling</v>
      </c>
      <c r="H31" s="119"/>
      <c r="I31" s="123"/>
      <c r="K31" s="357" t="s">
        <v>900</v>
      </c>
    </row>
    <row r="32" spans="1:11" s="84" customFormat="1" ht="40.5" customHeight="1" x14ac:dyDescent="0.3">
      <c r="B32" s="85" t="str">
        <f>VLOOKUP($K32,'Auto Responses'!$N$4:$O$38,2,0)&amp;""</f>
        <v xml:space="preserve"> Vulnerability Management</v>
      </c>
      <c r="C32" s="117" t="b">
        <v>1</v>
      </c>
      <c r="D32" s="111">
        <f>IF($C32=TRUE,SUMIF('(backend scoring)'!$B$3:$B$333,$K32,'(backend scoring)'!$O$3:$O$333),"")</f>
        <v>85</v>
      </c>
      <c r="E32" s="118">
        <f>IF($C32=TRUE,SUMIF('(backend scoring)'!$B$3:$B$333,$K32,'(backend scoring)'!$P$3:$P$333),"")</f>
        <v>60</v>
      </c>
      <c r="F32" s="145">
        <f>IFERROR($E32/$D32,'Auto Responses'!$J$5)</f>
        <v>0.70588235294117652</v>
      </c>
      <c r="G32" s="222" t="str">
        <f t="shared" si="0"/>
        <v>Jump to Vulnerability Management</v>
      </c>
      <c r="H32" s="119"/>
      <c r="I32" s="123"/>
      <c r="K32" s="357" t="s">
        <v>902</v>
      </c>
    </row>
    <row r="33" spans="1:13" s="84" customFormat="1" ht="40.5" customHeight="1" x14ac:dyDescent="0.3">
      <c r="B33" s="85" t="str">
        <f>VLOOKUP($K33,'Auto Responses'!$N$4:$O$38,2,0)&amp;""</f>
        <v xml:space="preserve"> Consulting Services</v>
      </c>
      <c r="C33" s="117" t="b">
        <v>1</v>
      </c>
      <c r="D33" s="111">
        <f>IF($C33=TRUE,SUMIF('(backend scoring)'!$B$3:$B$333,$K33,'(backend scoring)'!$O$3:$O$333),"")</f>
        <v>0</v>
      </c>
      <c r="E33" s="118">
        <f>IF($C33=TRUE,SUMIF('(backend scoring)'!$B$3:$B$333,$K33,'(backend scoring)'!$P$3:$P$333),"")</f>
        <v>0</v>
      </c>
      <c r="F33" s="145" t="str">
        <f>IFERROR($E33/$D33,'Auto Responses'!$J$5)</f>
        <v>N/A</v>
      </c>
      <c r="G33" s="222" t="str">
        <f t="shared" si="0"/>
        <v>Jump to Consulting Services</v>
      </c>
      <c r="H33" s="119"/>
      <c r="I33" s="123"/>
      <c r="K33" s="357" t="s">
        <v>886</v>
      </c>
    </row>
    <row r="34" spans="1:13" s="84" customFormat="1" ht="40.5" customHeight="1" x14ac:dyDescent="0.3">
      <c r="B34" s="85" t="str">
        <f>VLOOKUP($K34,'Auto Responses'!$N$4:$O$38,2,0)&amp;""</f>
        <v xml:space="preserve">HIPAA Compliance </v>
      </c>
      <c r="C34" s="117" t="b">
        <v>1</v>
      </c>
      <c r="D34" s="111">
        <f>IF($C34=TRUE,SUMIF('(backend scoring)'!$B$3:$B$333,$K34,'(backend scoring)'!$O$3:$O$333),"")</f>
        <v>0</v>
      </c>
      <c r="E34" s="118">
        <f>IF($C34=TRUE,SUMIF('(backend scoring)'!$B$3:$B$333,$K34,'(backend scoring)'!$P$3:$P$333),"")</f>
        <v>0</v>
      </c>
      <c r="F34" s="145" t="str">
        <f>IFERROR($E34/$D34,'Auto Responses'!$J$5)</f>
        <v>N/A</v>
      </c>
      <c r="G34" s="222" t="str">
        <f t="shared" si="0"/>
        <v xml:space="preserve">Jump toHIPAA Compliance </v>
      </c>
      <c r="H34" s="119"/>
      <c r="I34" s="123"/>
      <c r="K34" s="357" t="s">
        <v>904</v>
      </c>
    </row>
    <row r="35" spans="1:13" s="84" customFormat="1" ht="40.5" customHeight="1" x14ac:dyDescent="0.3">
      <c r="B35" s="85" t="str">
        <f>VLOOKUP($K35,'Auto Responses'!$N$4:$O$38,2,0)&amp;""</f>
        <v xml:space="preserve"> Payment Card Industry Data Security Standard (PCI DSS)</v>
      </c>
      <c r="C35" s="117" t="b">
        <v>1</v>
      </c>
      <c r="D35" s="111">
        <f>IF($C35=TRUE,SUMIF('(backend scoring)'!$B$3:$B$333,$K35,'(backend scoring)'!$O$3:$O$333),"")</f>
        <v>0</v>
      </c>
      <c r="E35" s="118">
        <f>IF($C35=TRUE,SUMIF('(backend scoring)'!$B$3:$B$333,$K35,'(backend scoring)'!$P$3:$P$333),"")</f>
        <v>0</v>
      </c>
      <c r="F35" s="145" t="str">
        <f>IFERROR($E35/$D35,'Auto Responses'!$J$5)</f>
        <v>N/A</v>
      </c>
      <c r="G35" s="222" t="str">
        <f t="shared" si="0"/>
        <v>Jump to Payment Card Industry Data Security Standard (PCI DSS)</v>
      </c>
      <c r="H35" s="119"/>
      <c r="I35" s="123"/>
      <c r="K35" s="357" t="s">
        <v>905</v>
      </c>
    </row>
    <row r="36" spans="1:13" s="84" customFormat="1" ht="40.5" customHeight="1" x14ac:dyDescent="0.3">
      <c r="B36" s="85" t="str">
        <f>VLOOKUP($K36,'Auto Responses'!$N$4:$O$38,2,0)&amp;""</f>
        <v xml:space="preserve"> On-Premises Data Solutions</v>
      </c>
      <c r="C36" s="117" t="b">
        <v>1</v>
      </c>
      <c r="D36" s="111">
        <f>IF($C36=TRUE,SUMIF('(backend scoring)'!$B$3:$B$333,$K36,'(backend scoring)'!$O$3:$O$333),"")</f>
        <v>0</v>
      </c>
      <c r="E36" s="118">
        <f>IF($C36=TRUE,SUMIF('(backend scoring)'!$B$3:$B$333,$K36,'(backend scoring)'!$P$3:$P$333),"")</f>
        <v>0</v>
      </c>
      <c r="F36" s="145" t="str">
        <f>IFERROR($E36/$D36,'Auto Responses'!$J$5)</f>
        <v>N/A</v>
      </c>
      <c r="G36" s="222" t="str">
        <f t="shared" si="0"/>
        <v>Jump to On-Premises Data Solutions</v>
      </c>
      <c r="H36" s="119"/>
      <c r="I36" s="123"/>
      <c r="K36" s="357" t="s">
        <v>906</v>
      </c>
    </row>
    <row r="37" spans="1:13" s="84" customFormat="1" ht="40.5" customHeight="1" x14ac:dyDescent="0.3">
      <c r="B37" s="85" t="str">
        <f>VLOOKUP($K37,'Auto Responses'!$N$4:$O$38,2,0)&amp;""</f>
        <v xml:space="preserve"> IT Accessibility</v>
      </c>
      <c r="C37" s="117" t="b">
        <v>1</v>
      </c>
      <c r="D37" s="111">
        <f>IF($C37=TRUE,SUMIF('(backend scoring)'!$B$3:$B$333,$K37,'(backend scoring)'!$O$3:$O$333),"")</f>
        <v>170</v>
      </c>
      <c r="E37" s="118">
        <f>IF($C37=TRUE,SUMIF('(backend scoring)'!$B$3:$B$333,$K37,'(backend scoring)'!$P$3:$P$333),"")</f>
        <v>160</v>
      </c>
      <c r="F37" s="145">
        <f>IFERROR($E37/$D37,'Auto Responses'!$J$5)</f>
        <v>0.94117647058823528</v>
      </c>
      <c r="G37" s="222" t="str">
        <f t="shared" si="0"/>
        <v>Jump to IT Accessibility</v>
      </c>
      <c r="H37" s="119"/>
      <c r="I37" s="123"/>
      <c r="K37" s="357" t="s">
        <v>882</v>
      </c>
    </row>
    <row r="38" spans="1:13" s="84" customFormat="1" ht="40.5" customHeight="1" x14ac:dyDescent="0.3">
      <c r="B38" s="85" t="s">
        <v>1052</v>
      </c>
      <c r="C38" s="117" t="b">
        <v>1</v>
      </c>
      <c r="D38" s="151">
        <f>IF($C38=TRUE,SUMIF('(backend scoring)'!$E$3:$E$333,'Auto Responses'!$L$20,'(backend scoring)'!$O$3:$O$333),"")</f>
        <v>305</v>
      </c>
      <c r="E38" s="151">
        <f>IF($C38=TRUE,SUMIF('(backend scoring)'!$E$3:$E$333,'Auto Responses'!$L$20,'(backend scoring)'!$P$3:$P$333),"")</f>
        <v>165</v>
      </c>
      <c r="F38" s="145">
        <f>IFERROR($E38/$D38,'Auto Responses'!$J$5)</f>
        <v>0.54098360655737709</v>
      </c>
      <c r="G38" s="223" t="str">
        <f>"Jump to AI Questions"</f>
        <v>Jump to AI Questions</v>
      </c>
      <c r="H38" s="119"/>
      <c r="I38" s="123"/>
    </row>
    <row r="39" spans="1:13" s="84" customFormat="1" ht="40.5" customHeight="1" thickBot="1" x14ac:dyDescent="0.35">
      <c r="B39" s="147" t="s">
        <v>1053</v>
      </c>
      <c r="C39" s="148" t="b">
        <v>1</v>
      </c>
      <c r="D39" s="149">
        <f>IF($C39=TRUE,'Privacy Analyst Evaluation'!$D$31,"")</f>
        <v>540</v>
      </c>
      <c r="E39" s="149">
        <f>IF($C39=TRUE,'Privacy Analyst Evaluation'!$E$31,"")</f>
        <v>410</v>
      </c>
      <c r="F39" s="150">
        <f>IFERROR($E39/$D39,'Auto Responses'!$J$5)</f>
        <v>0.7592592592592593</v>
      </c>
      <c r="G39" s="224" t="str">
        <f>"Jump to Privacy Scorecard"</f>
        <v>Jump to Privacy Scorecard</v>
      </c>
      <c r="H39" s="121"/>
      <c r="I39" s="124"/>
    </row>
    <row r="40" spans="1:13" s="84" customFormat="1" ht="30" customHeight="1" thickBot="1" x14ac:dyDescent="0.3">
      <c r="B40" s="83" t="s">
        <v>944</v>
      </c>
      <c r="C40" s="110"/>
      <c r="D40" s="112">
        <f>SUM(D21:D39)</f>
        <v>2650</v>
      </c>
      <c r="E40" s="112">
        <f>SUM(E21:E39)</f>
        <v>2080</v>
      </c>
      <c r="F40" s="81">
        <f>IFERROR(E40/D40,'Auto Responses'!$J$5)</f>
        <v>0.78490566037735854</v>
      </c>
      <c r="G40" s="128"/>
      <c r="H40" s="129"/>
      <c r="I40" s="130"/>
      <c r="J40" s="238" t="s">
        <v>1449</v>
      </c>
    </row>
    <row r="41" spans="1:13" ht="16.2" x14ac:dyDescent="0.3">
      <c r="F41" s="55" t="s">
        <v>943</v>
      </c>
    </row>
    <row r="42" spans="1:13" ht="16.2" x14ac:dyDescent="0.3"/>
    <row r="43" spans="1:13" ht="15" customHeight="1" x14ac:dyDescent="0.3"/>
    <row r="44" spans="1:13" s="23" customFormat="1" ht="36" customHeight="1" x14ac:dyDescent="0.25">
      <c r="A44" s="175" t="s">
        <v>870</v>
      </c>
      <c r="B44" s="175"/>
      <c r="C44" s="179"/>
      <c r="D44" s="175"/>
      <c r="E44" s="175"/>
      <c r="F44" s="175"/>
      <c r="G44" s="175"/>
      <c r="H44" s="175"/>
      <c r="I44" s="175"/>
      <c r="J44" s="175"/>
      <c r="K44" s="175"/>
      <c r="L44" s="55"/>
      <c r="M44" s="1"/>
    </row>
    <row r="45" spans="1:13" s="23" customFormat="1" ht="36" customHeight="1" x14ac:dyDescent="0.25">
      <c r="A45" s="24" t="s">
        <v>850</v>
      </c>
      <c r="B45" s="24"/>
      <c r="C45" s="69"/>
      <c r="D45" s="24"/>
      <c r="E45" s="24"/>
      <c r="F45" s="24"/>
      <c r="G45" s="24"/>
      <c r="H45" s="24"/>
      <c r="I45" s="24"/>
      <c r="J45" s="24"/>
      <c r="K45" s="24"/>
      <c r="L45" s="55"/>
      <c r="M45" s="1"/>
    </row>
    <row r="46" spans="1:13" s="1" customFormat="1" ht="36" customHeight="1" x14ac:dyDescent="0.25">
      <c r="A46" s="11" t="s">
        <v>866</v>
      </c>
      <c r="B46" s="12"/>
      <c r="C46" s="13"/>
      <c r="D46" s="14"/>
      <c r="E46" s="14"/>
      <c r="F46" s="15"/>
      <c r="G46" s="15"/>
      <c r="H46" s="15"/>
      <c r="I46" s="15"/>
      <c r="J46" s="15"/>
      <c r="K46" s="15"/>
      <c r="L46" s="55"/>
    </row>
    <row r="47" spans="1:13" s="1" customFormat="1" ht="19.5" customHeight="1" x14ac:dyDescent="0.25">
      <c r="A47" s="251" t="str">
        <f>HLOOKUP($A$4,'Auto Responses'!$F$2:$F$7,2,0)&amp;""</f>
        <v>1. Upon initial review, you can check the "Non-Negotiable" box by any question to compile a report of questions that may prohibit a full review.</v>
      </c>
      <c r="B47" s="61"/>
      <c r="C47" s="61"/>
      <c r="D47" s="61"/>
      <c r="E47" s="61"/>
      <c r="F47" s="61"/>
      <c r="G47" s="61"/>
      <c r="H47" s="61"/>
      <c r="I47" s="61"/>
      <c r="J47" s="61"/>
      <c r="K47" s="16"/>
      <c r="L47" s="55"/>
    </row>
    <row r="48" spans="1:13" s="1" customFormat="1" ht="19.5" customHeight="1" x14ac:dyDescent="0.25">
      <c r="A48" s="251" t="str">
        <f>HLOOKUP($A$4,'Auto Responses'!$F$2:$F$7,3,0)&amp;""</f>
        <v>2. When evaluating an answer, a default importance level has been set. You can use the "Importance Override" dropdown to override the default and adjust the value of the question.</v>
      </c>
      <c r="B48" s="61"/>
      <c r="C48" s="61"/>
      <c r="D48" s="61"/>
      <c r="E48" s="61"/>
      <c r="F48" s="61"/>
      <c r="G48" s="61"/>
      <c r="H48" s="61"/>
      <c r="I48" s="61"/>
      <c r="J48" s="61"/>
      <c r="K48" s="16"/>
      <c r="L48" s="55"/>
    </row>
    <row r="49" spans="1:13" s="1" customFormat="1" ht="19.5" customHeight="1" x14ac:dyDescent="0.25">
      <c r="A49" s="251" t="str">
        <f>HLOOKUP($A$4,'Auto Responses'!$F$2:$F$7,4,0)&amp;""</f>
        <v>3. For questions that are qualitative or for which you disagree with the preferred response, make a selection in the "Compliant Override" dropdown to adjust the question's impact on the score.</v>
      </c>
      <c r="B49" s="61"/>
      <c r="C49" s="61"/>
      <c r="D49" s="61"/>
      <c r="E49" s="61"/>
      <c r="F49" s="61"/>
      <c r="G49" s="61"/>
      <c r="H49" s="61"/>
      <c r="I49" s="61"/>
      <c r="J49" s="61"/>
      <c r="K49" s="16"/>
      <c r="L49" s="55"/>
    </row>
    <row r="50" spans="1:13" s="1" customFormat="1" ht="19.5" customHeight="1" x14ac:dyDescent="0.25">
      <c r="A50" s="251" t="str">
        <f>HLOOKUP($A$4,'Auto Responses'!$F$2:$F$7,5,0)&amp;""</f>
        <v xml:space="preserve">4. Each worksheet shows a report for that section. See the "Analyst Report" sheet for a full report of all sections. </v>
      </c>
      <c r="B50" s="61"/>
      <c r="C50" s="61"/>
      <c r="D50" s="61"/>
      <c r="E50" s="61"/>
      <c r="F50" s="61"/>
      <c r="G50" s="61"/>
      <c r="H50" s="61"/>
      <c r="I50" s="61"/>
      <c r="J50" s="61"/>
      <c r="K50" s="16"/>
      <c r="L50" s="55"/>
    </row>
    <row r="51" spans="1:13" s="1" customFormat="1" ht="19.5" customHeight="1" x14ac:dyDescent="0.25">
      <c r="A51" s="251" t="str">
        <f>HLOOKUP($A$4,'Auto Responses'!$F$2:$F$7,6,0)&amp;""</f>
        <v xml:space="preserve">5. If you are evaluating a question that appears in an earlier section, the Importance and Compliant Override cannot be changed but additional notes can be added. </v>
      </c>
      <c r="B51" s="61"/>
      <c r="C51" s="61"/>
      <c r="D51" s="61"/>
      <c r="E51" s="61"/>
      <c r="F51" s="61"/>
      <c r="G51" s="61"/>
      <c r="H51" s="61"/>
      <c r="I51" s="61"/>
      <c r="J51" s="61"/>
      <c r="K51" s="16"/>
      <c r="L51" s="55"/>
    </row>
    <row r="52" spans="1:13" s="1" customFormat="1" ht="19.5" customHeight="1" thickBot="1" x14ac:dyDescent="0.3">
      <c r="A52" s="252" t="str">
        <f>HLOOKUP($A$4,'Auto Responses'!$F$2:$F$8,7,0)&amp;""</f>
        <v>For full instructions, please visit EDUCAUSE.edu/HECVAT</v>
      </c>
      <c r="B52" s="61"/>
      <c r="C52" s="61"/>
      <c r="D52" s="61"/>
      <c r="E52" s="61"/>
      <c r="F52" s="61"/>
      <c r="G52" s="61"/>
      <c r="H52" s="61"/>
      <c r="I52" s="61"/>
      <c r="J52" s="61"/>
      <c r="K52" s="16"/>
      <c r="L52" s="55"/>
    </row>
    <row r="53" spans="1:13" s="23" customFormat="1" ht="41.25" customHeight="1" thickBot="1" x14ac:dyDescent="0.3">
      <c r="A53" s="25"/>
      <c r="B53" s="25"/>
      <c r="C53" s="70"/>
      <c r="D53" s="25"/>
      <c r="E53" s="25"/>
      <c r="F53" s="189" t="s">
        <v>849</v>
      </c>
      <c r="G53" s="182" t="s">
        <v>1034</v>
      </c>
      <c r="H53" s="183"/>
      <c r="I53" s="183"/>
      <c r="J53" s="183"/>
      <c r="K53" s="183"/>
      <c r="L53" s="55"/>
      <c r="M53" s="1"/>
    </row>
    <row r="54" spans="1:13" s="29" customFormat="1" ht="63" customHeight="1" thickBot="1" x14ac:dyDescent="0.3">
      <c r="A54" s="26" t="s">
        <v>851</v>
      </c>
      <c r="B54" s="27" t="s">
        <v>1</v>
      </c>
      <c r="C54" s="27" t="s">
        <v>1497</v>
      </c>
      <c r="D54" s="28" t="s">
        <v>72</v>
      </c>
      <c r="E54" s="307" t="s">
        <v>848</v>
      </c>
      <c r="F54" s="190" t="s">
        <v>1468</v>
      </c>
      <c r="G54" s="46" t="s">
        <v>869</v>
      </c>
      <c r="H54" s="43" t="s">
        <v>871</v>
      </c>
      <c r="I54" s="43" t="s">
        <v>19</v>
      </c>
      <c r="J54" s="44" t="s">
        <v>856</v>
      </c>
      <c r="K54" s="47" t="s">
        <v>867</v>
      </c>
      <c r="L54" s="55"/>
      <c r="M54" s="1"/>
    </row>
    <row r="55" spans="1:13" s="1" customFormat="1" ht="17.399999999999999" x14ac:dyDescent="0.25">
      <c r="A55" s="63" t="str">
        <f>VLOOKUP(LEFT($A56,4),'Auto Responses'!$N$4:$O$38,2,0)&amp;""</f>
        <v xml:space="preserve"> General Information</v>
      </c>
      <c r="B55" s="22"/>
      <c r="C55" s="31"/>
      <c r="D55" s="31"/>
      <c r="E55" s="329"/>
      <c r="F55" s="131" t="s">
        <v>1030</v>
      </c>
      <c r="G55" s="31"/>
      <c r="H55" s="31"/>
      <c r="I55" s="31"/>
      <c r="J55" s="31"/>
      <c r="K55" s="31"/>
      <c r="L55" s="55"/>
    </row>
    <row r="56" spans="1:13" s="29" customFormat="1" ht="16.2" x14ac:dyDescent="0.25">
      <c r="A56" s="19" t="str">
        <f>'START HERE'!$A$13</f>
        <v>GNRL-01</v>
      </c>
      <c r="B56" s="20" t="str">
        <f>VLOOKUP($A56,'START HERE'!$A$13:$E$36,2,0)&amp;""</f>
        <v>Solution Provider Name</v>
      </c>
      <c r="C56" s="303" t="str">
        <f>VLOOKUP($A56,'START HERE'!$A$13:$E$36,3,0)&amp;""</f>
        <v>Cursive Technology Inc</v>
      </c>
      <c r="D56" s="306" t="str">
        <f>IF(LEFT(VLOOKUP($A56,'START HERE'!$A$13:$E$36,5,0),21)='Auto Responses'!$A$32,'Auto Responses'!$A$33,VLOOKUP($A56,'START HERE'!$A$13:$E$36,4,0))&amp;""</f>
        <v/>
      </c>
      <c r="E56" s="328" t="str">
        <f>VLOOKUP($A56,'START HERE'!$A$13:$E$36,5,0)&amp;""</f>
        <v/>
      </c>
      <c r="F56" s="192"/>
      <c r="G56" s="30" t="str">
        <f>VLOOKUP($A56,Questions!$A$2:$X$333,21,0)&amp;""</f>
        <v>Not scored</v>
      </c>
      <c r="H56" s="185"/>
      <c r="I56" s="45" t="str">
        <f>VLOOKUP($A56,Questions!$A$2:$X$333,23,0)&amp;""</f>
        <v/>
      </c>
      <c r="J56" s="185"/>
      <c r="K56" s="75"/>
      <c r="L56" s="55"/>
      <c r="M56" s="1"/>
    </row>
    <row r="57" spans="1:13" s="29" customFormat="1" ht="16.2" x14ac:dyDescent="0.25">
      <c r="A57" s="19" t="str">
        <f>'START HERE'!$A$14</f>
        <v>GNRL-02</v>
      </c>
      <c r="B57" s="20" t="str">
        <f>VLOOKUP($A57,'START HERE'!$A$13:$E$36,2,0)&amp;""</f>
        <v>Solution Name</v>
      </c>
      <c r="C57" s="303" t="str">
        <f>VLOOKUP($A57,'START HERE'!$A$13:$E$36,3,0)&amp;""</f>
        <v>TypeID</v>
      </c>
      <c r="D57" s="306" t="str">
        <f>IF(LEFT(VLOOKUP($A57,'START HERE'!$A$13:$E$36,5,0),21)='Auto Responses'!$A$32,'Auto Responses'!$A$33,VLOOKUP($A57,'START HERE'!$A$13:$E$36,4,0))&amp;""</f>
        <v/>
      </c>
      <c r="E57" s="328" t="str">
        <f>VLOOKUP($A57,'START HERE'!$A$13:$E$36,5,0)&amp;""</f>
        <v/>
      </c>
      <c r="F57" s="192"/>
      <c r="G57" s="30" t="str">
        <f>VLOOKUP($A57,Questions!$A$2:$X$333,21,0)&amp;""</f>
        <v>Not scored</v>
      </c>
      <c r="H57" s="185"/>
      <c r="I57" s="45" t="str">
        <f>VLOOKUP($A57,Questions!$A$2:$X$333,23,0)&amp;""</f>
        <v/>
      </c>
      <c r="J57" s="185"/>
      <c r="K57" s="75"/>
      <c r="L57" s="55"/>
      <c r="M57" s="1"/>
    </row>
    <row r="58" spans="1:13" s="29" customFormat="1" ht="16.2" x14ac:dyDescent="0.25">
      <c r="A58" s="19" t="str">
        <f>'START HERE'!$A$15</f>
        <v>GNRL-03</v>
      </c>
      <c r="B58" s="20" t="str">
        <f>VLOOKUP($A58,'START HERE'!$A$13:$E$36,2,0)&amp;""</f>
        <v>Solution Description</v>
      </c>
      <c r="C58" s="303" t="str">
        <f>VLOOKUP($A58,'START HERE'!$A$13:$E$36,3,0)&amp;""</f>
        <v>Continuous authorship verification and writing analytics using typing biometrics. Native Moodle plugin, browser extension for any LMS, WordPress-based authorship report and verification system.</v>
      </c>
      <c r="D58" s="306" t="str">
        <f>IF(LEFT(VLOOKUP($A58,'START HERE'!$A$13:$E$36,5,0),21)='Auto Responses'!$A$32,'Auto Responses'!$A$33,VLOOKUP($A58,'START HERE'!$A$13:$E$36,4,0))&amp;""</f>
        <v/>
      </c>
      <c r="E58" s="328" t="str">
        <f>VLOOKUP($A58,'START HERE'!$A$13:$E$36,5,0)&amp;""</f>
        <v/>
      </c>
      <c r="F58" s="192"/>
      <c r="G58" s="30" t="str">
        <f>VLOOKUP($A58,Questions!$A$2:$X$333,21,0)&amp;""</f>
        <v>Not scored</v>
      </c>
      <c r="H58" s="185"/>
      <c r="I58" s="45" t="str">
        <f>VLOOKUP($A58,Questions!$A$2:$X$333,23,0)&amp;""</f>
        <v/>
      </c>
      <c r="J58" s="185"/>
      <c r="K58" s="75"/>
      <c r="L58" s="55"/>
      <c r="M58" s="1"/>
    </row>
    <row r="59" spans="1:13" s="29" customFormat="1" ht="16.2" x14ac:dyDescent="0.25">
      <c r="A59" s="19" t="str">
        <f>'START HERE'!$A$16</f>
        <v>GNRL-04</v>
      </c>
      <c r="B59" s="20" t="str">
        <f>VLOOKUP($A59,'START HERE'!$A$13:$E$36,2,0)&amp;""</f>
        <v>Solution Provider Contact Name</v>
      </c>
      <c r="C59" s="303" t="str">
        <f>VLOOKUP($A59,'START HERE'!$A$13:$E$36,3,0)&amp;""</f>
        <v>Joseph Thibault</v>
      </c>
      <c r="D59" s="306" t="str">
        <f>IF(LEFT(VLOOKUP($A59,'START HERE'!$A$13:$E$36,5,0),21)='Auto Responses'!$A$32,'Auto Responses'!$A$33,VLOOKUP($A59,'START HERE'!$A$13:$E$36,4,0))&amp;""</f>
        <v/>
      </c>
      <c r="E59" s="328" t="str">
        <f>VLOOKUP($A59,'START HERE'!$A$13:$E$36,5,0)&amp;""</f>
        <v/>
      </c>
      <c r="F59" s="192"/>
      <c r="G59" s="30" t="str">
        <f>VLOOKUP($A59,Questions!$A$2:$X$333,21,0)&amp;""</f>
        <v>Not scored</v>
      </c>
      <c r="H59" s="185"/>
      <c r="I59" s="45" t="str">
        <f>VLOOKUP($A59,Questions!$A$2:$X$333,23,0)&amp;""</f>
        <v/>
      </c>
      <c r="J59" s="185"/>
      <c r="K59" s="75"/>
      <c r="L59" s="55"/>
      <c r="M59" s="1"/>
    </row>
    <row r="60" spans="1:13" s="29" customFormat="1" ht="16.2" x14ac:dyDescent="0.25">
      <c r="A60" s="19" t="str">
        <f>'START HERE'!$A$17</f>
        <v>GNRL-05</v>
      </c>
      <c r="B60" s="20" t="str">
        <f>VLOOKUP($A60,'START HERE'!$A$13:$E$36,2,0)&amp;""</f>
        <v>Solution Provider Contact Title</v>
      </c>
      <c r="C60" s="303" t="str">
        <f>VLOOKUP($A60,'START HERE'!$A$13:$E$36,3,0)&amp;""</f>
        <v>CEO</v>
      </c>
      <c r="D60" s="306" t="str">
        <f>IF(LEFT(VLOOKUP($A60,'START HERE'!$A$13:$E$36,5,0),21)='Auto Responses'!$A$32,'Auto Responses'!$A$33,VLOOKUP($A60,'START HERE'!$A$13:$E$36,4,0))&amp;""</f>
        <v/>
      </c>
      <c r="E60" s="328" t="str">
        <f>VLOOKUP($A60,'START HERE'!$A$13:$E$36,5,0)&amp;""</f>
        <v/>
      </c>
      <c r="F60" s="192"/>
      <c r="G60" s="30" t="str">
        <f>VLOOKUP($A60,Questions!$A$2:$X$333,21,0)&amp;""</f>
        <v>Not scored</v>
      </c>
      <c r="H60" s="185"/>
      <c r="I60" s="45" t="str">
        <f>VLOOKUP($A60,Questions!$A$2:$X$333,23,0)&amp;""</f>
        <v/>
      </c>
      <c r="J60" s="185"/>
      <c r="K60" s="75"/>
      <c r="L60" s="55"/>
      <c r="M60" s="1"/>
    </row>
    <row r="61" spans="1:13" s="29" customFormat="1" ht="16.2" x14ac:dyDescent="0.25">
      <c r="A61" s="19" t="str">
        <f>'START HERE'!$A$18</f>
        <v>GNRL-06</v>
      </c>
      <c r="B61" s="20" t="str">
        <f>VLOOKUP($A61,'START HERE'!$A$13:$E$36,2,0)&amp;""</f>
        <v>Solution Provider Contact Email</v>
      </c>
      <c r="C61" s="303" t="str">
        <f>VLOOKUP($A61,'START HERE'!$A$13:$E$36,3,0)&amp;""</f>
        <v>joe@cursivetechnology.com</v>
      </c>
      <c r="D61" s="306" t="str">
        <f>IF(LEFT(VLOOKUP($A61,'START HERE'!$A$13:$E$36,5,0),21)='Auto Responses'!$A$32,'Auto Responses'!$A$33,VLOOKUP($A61,'START HERE'!$A$13:$E$36,4,0))&amp;""</f>
        <v/>
      </c>
      <c r="E61" s="328" t="str">
        <f>VLOOKUP($A61,'START HERE'!$A$13:$E$36,5,0)&amp;""</f>
        <v/>
      </c>
      <c r="F61" s="192"/>
      <c r="G61" s="30" t="str">
        <f>VLOOKUP($A61,Questions!$A$2:$X$333,21,0)&amp;""</f>
        <v>Not scored</v>
      </c>
      <c r="H61" s="185"/>
      <c r="I61" s="45" t="str">
        <f>VLOOKUP($A61,Questions!$A$2:$X$333,23,0)&amp;""</f>
        <v/>
      </c>
      <c r="J61" s="185"/>
      <c r="K61" s="75"/>
      <c r="L61" s="55"/>
      <c r="M61" s="1"/>
    </row>
    <row r="62" spans="1:13" s="29" customFormat="1" ht="16.2" x14ac:dyDescent="0.25">
      <c r="A62" s="19" t="str">
        <f>'START HERE'!$A$19</f>
        <v>GNRL-07</v>
      </c>
      <c r="B62" s="20" t="str">
        <f>VLOOKUP($A62,'START HERE'!$A$13:$E$36,2,0)&amp;""</f>
        <v>Solution Provider Contact Phone Number</v>
      </c>
      <c r="C62" s="303" t="str">
        <f>VLOOKUP($A62,'START HERE'!$A$13:$E$36,3,0)&amp;""</f>
        <v>410-231-3323</v>
      </c>
      <c r="D62" s="306" t="str">
        <f>IF(LEFT(VLOOKUP($A62,'START HERE'!$A$13:$E$36,5,0),21)='Auto Responses'!$A$32,'Auto Responses'!$A$33,VLOOKUP($A62,'START HERE'!$A$13:$E$36,4,0))&amp;""</f>
        <v/>
      </c>
      <c r="E62" s="328" t="str">
        <f>VLOOKUP($A62,'START HERE'!$A$13:$E$36,5,0)&amp;""</f>
        <v/>
      </c>
      <c r="F62" s="192"/>
      <c r="G62" s="30" t="str">
        <f>VLOOKUP($A62,Questions!$A$2:$X$333,21,0)&amp;""</f>
        <v>Not scored</v>
      </c>
      <c r="H62" s="185"/>
      <c r="I62" s="45" t="str">
        <f>VLOOKUP($A62,Questions!$A$2:$X$333,23,0)&amp;""</f>
        <v/>
      </c>
      <c r="J62" s="185"/>
      <c r="K62" s="75"/>
      <c r="L62" s="55"/>
      <c r="M62" s="1"/>
    </row>
    <row r="63" spans="1:13" s="29" customFormat="1" ht="16.2" x14ac:dyDescent="0.25">
      <c r="A63" s="19" t="str">
        <f>'START HERE'!$A$20</f>
        <v>GNRL-08</v>
      </c>
      <c r="B63" s="20" t="str">
        <f>VLOOKUP($A63,'START HERE'!$A$13:$E$36,2,0)&amp;""</f>
        <v>Country of Company Headquarters</v>
      </c>
      <c r="C63" s="303" t="str">
        <f>VLOOKUP($A63,'START HERE'!$A$13:$E$36,3,0)&amp;""</f>
        <v>USA</v>
      </c>
      <c r="D63" s="306" t="str">
        <f>IF(LEFT(VLOOKUP($A63,'START HERE'!$A$13:$E$36,5,0),21)='Auto Responses'!$A$32,'Auto Responses'!$A$33,VLOOKUP($A63,'START HERE'!$A$13:$E$36,4,0))&amp;""</f>
        <v/>
      </c>
      <c r="E63" s="328" t="str">
        <f>VLOOKUP($A63,'START HERE'!$A$13:$E$36,5,0)&amp;""</f>
        <v/>
      </c>
      <c r="F63" s="192"/>
      <c r="G63" s="30" t="str">
        <f>VLOOKUP($A63,Questions!$A$2:$X$333,21,0)&amp;""</f>
        <v>Not scored</v>
      </c>
      <c r="H63" s="185"/>
      <c r="I63" s="45" t="str">
        <f>VLOOKUP($A63,Questions!$A$2:$X$333,23,0)&amp;""</f>
        <v/>
      </c>
      <c r="J63" s="185"/>
      <c r="K63" s="75"/>
      <c r="L63" s="55"/>
      <c r="M63" s="1"/>
    </row>
    <row r="64" spans="1:13" s="29" customFormat="1" ht="16.2" x14ac:dyDescent="0.25">
      <c r="A64" s="19" t="str">
        <f>'START HERE'!$A$21</f>
        <v>GNRL-09</v>
      </c>
      <c r="B64" s="20" t="str">
        <f>VLOOKUP($A64,'START HERE'!$A$13:$E$36,2,0)&amp;""</f>
        <v>Employee Work Locations (all)</v>
      </c>
      <c r="C64" s="303" t="str">
        <f>VLOOKUP($A64,'START HERE'!$A$13:$E$36,3,0)&amp;""</f>
        <v>Baltimore MD</v>
      </c>
      <c r="D64" s="306" t="str">
        <f>IF(LEFT(VLOOKUP($A64,'START HERE'!$A$13:$E$36,5,0),21)='Auto Responses'!$A$32,'Auto Responses'!$A$33,VLOOKUP($A64,'START HERE'!$A$13:$E$36,4,0))&amp;""</f>
        <v/>
      </c>
      <c r="E64" s="328" t="str">
        <f>VLOOKUP($A64,'START HERE'!$A$13:$E$36,5,0)&amp;""</f>
        <v/>
      </c>
      <c r="F64" s="192"/>
      <c r="G64" s="30" t="str">
        <f>VLOOKUP($A64,Questions!$A$2:$X$333,21,0)&amp;""</f>
        <v>Not scored</v>
      </c>
      <c r="H64" s="185"/>
      <c r="I64" s="45" t="str">
        <f>VLOOKUP($A64,Questions!$A$2:$X$333,23,0)&amp;""</f>
        <v/>
      </c>
      <c r="J64" s="185"/>
      <c r="K64" s="75"/>
      <c r="L64" s="55"/>
      <c r="M64" s="1"/>
    </row>
    <row r="65" spans="1:13" s="1" customFormat="1" ht="17.399999999999999" x14ac:dyDescent="0.25">
      <c r="A65" s="63" t="str">
        <f>VLOOKUP(LEFT($A66,4),'Auto Responses'!$N$4:$O$38,2,0)&amp;""</f>
        <v xml:space="preserve"> Company Information</v>
      </c>
      <c r="B65" s="22"/>
      <c r="C65" s="31"/>
      <c r="D65" s="31"/>
      <c r="E65" s="329"/>
      <c r="F65" s="131" t="s">
        <v>1030</v>
      </c>
      <c r="G65" s="335" t="s">
        <v>869</v>
      </c>
      <c r="H65" s="335" t="s">
        <v>871</v>
      </c>
      <c r="I65" s="335" t="s">
        <v>19</v>
      </c>
      <c r="J65" s="335" t="s">
        <v>856</v>
      </c>
      <c r="K65" s="335" t="s">
        <v>867</v>
      </c>
      <c r="L65" s="55"/>
    </row>
    <row r="66" spans="1:13" s="29" customFormat="1" ht="226.8" x14ac:dyDescent="0.25">
      <c r="A66" s="19" t="str">
        <f>'START HERE'!$A$23</f>
        <v>COMP-01</v>
      </c>
      <c r="B66" s="20" t="str">
        <f>VLOOKUP($A66,'START HERE'!$A$13:$E$36,2,0)&amp;""</f>
        <v>Do you have a dedicated software and system development team(s) (e.g., customer support, implementation, product management, etc.)?*</v>
      </c>
      <c r="C66" s="45" t="str">
        <f>VLOOKUP($A66,'START HERE'!$A$13:$E$36,3,0)&amp;""</f>
        <v>Yes</v>
      </c>
      <c r="D66" s="34" t="str">
        <f>IF(LEFT(VLOOKUP($A66,'START HERE'!$A$13:$E$36,5,0),21)='Auto Responses'!$A$32,'Auto Responses'!$A$33,VLOOKUP($A66,'START HERE'!$A$13:$E$36,4,0))&amp;""</f>
        <v xml:space="preserve">As a small team we are cross-functional but have dedicated roles and responsibilities within the company working with respective teams including outsourcing partners. All deployment of systems for the purpose of serving clients is completed at the direction of our team. </v>
      </c>
      <c r="E66" s="332" t="str">
        <f>VLOOKUP($A66,'START HERE'!$A$13:$E$36,5,0)&amp;""</f>
        <v>Describe the structure and size of your software and system development teams. (e.g., customer support, implementation, product management, etc.).</v>
      </c>
      <c r="F66" s="192"/>
      <c r="G66" s="30" t="str">
        <f>VLOOKUP($A66,Questions!$A$2:$X$333,21,0)&amp;""</f>
        <v>Yes</v>
      </c>
      <c r="H66" s="185"/>
      <c r="I66" s="45" t="str">
        <f>VLOOKUP($A66,Questions!$A$2:$X$333,23,0)&amp;""</f>
        <v>Standard Importance</v>
      </c>
      <c r="J66" s="185"/>
      <c r="K66" s="48" t="b">
        <v>0</v>
      </c>
      <c r="L66" s="55"/>
      <c r="M66" s="1"/>
    </row>
    <row r="67" spans="1:13" s="29" customFormat="1" ht="226.8" x14ac:dyDescent="0.25">
      <c r="A67" s="19" t="str">
        <f>'START HERE'!$A$24</f>
        <v>COMP-02</v>
      </c>
      <c r="B67" s="20" t="str">
        <f>VLOOKUP($A67,'START HERE'!$A$13:$E$36,2,0)&amp;""</f>
        <v>Describe your organization’s business background and ownership structure, including all parent and subsidiary relationships.</v>
      </c>
      <c r="C67" s="305" t="str">
        <f>VLOOKUP($A67,'START HERE'!$A$13:$E$36,3,0)&amp;""</f>
        <v xml:space="preserve">We are a Maryland based corporation with a convertible note from Conscoius Venture Fund II. Our team is one full time employee, one unpaid CEO/Founder, one part time growth role, and three outsourced development partners (Brain-Station 23, AWS Contractor, Tech Worm LLC) </v>
      </c>
      <c r="D67" s="306" t="str">
        <f>IF(LEFT(VLOOKUP($A67,'START HERE'!$A$13:$E$36,5,0),21)='Auto Responses'!$A$32,'Auto Responses'!$A$33,VLOOKUP($A67,'START HERE'!$A$13:$E$36,4,0))&amp;""</f>
        <v/>
      </c>
      <c r="E67" s="332" t="str">
        <f>VLOOKUP($A67,'START HERE'!$A$13:$E$36,5,0)&amp;""</f>
        <v>Include circumstances that may involve offshoring or multinational agreements.</v>
      </c>
      <c r="F67" s="192"/>
      <c r="G67" s="30" t="str">
        <f>VLOOKUP($A67,Questions!$A$2:$X$333,21,0)&amp;""</f>
        <v>Not scored</v>
      </c>
      <c r="H67" s="185"/>
      <c r="I67" s="45" t="str">
        <f>VLOOKUP($A67,Questions!$A$2:$X$333,23,0)&amp;""</f>
        <v/>
      </c>
      <c r="J67" s="185"/>
      <c r="K67" s="48" t="b">
        <v>0</v>
      </c>
      <c r="L67" s="55"/>
      <c r="M67" s="1"/>
    </row>
    <row r="68" spans="1:13" s="29" customFormat="1" ht="48.6" x14ac:dyDescent="0.25">
      <c r="A68" s="19" t="str">
        <f>'START HERE'!$A$25</f>
        <v>COMP-03</v>
      </c>
      <c r="B68" s="20" t="str">
        <f>VLOOKUP($A68,'START HERE'!$A$13:$E$36,2,0)&amp;""</f>
        <v>Have you operated without unplanned disruptions to this solution in the past 12 months?</v>
      </c>
      <c r="C68" s="45" t="str">
        <f>VLOOKUP($A68,'START HERE'!$A$13:$E$36,3,0)&amp;""</f>
        <v>No</v>
      </c>
      <c r="D68" s="34" t="str">
        <f>IF(LEFT(VLOOKUP($A68,'START HERE'!$A$13:$E$36,5,0),21)='Auto Responses'!$A$32,'Auto Responses'!$A$33,VLOOKUP($A68,'START HERE'!$A$13:$E$36,4,0))&amp;""</f>
        <v/>
      </c>
      <c r="E68" s="332" t="str">
        <f>VLOOKUP($A68,'START HERE'!$A$13:$E$36,5,0)&amp;""</f>
        <v>Provide a detailed summary of the unplanned disruption.</v>
      </c>
      <c r="F68" s="192"/>
      <c r="G68" s="30" t="str">
        <f>VLOOKUP($A68,Questions!$A$2:$X$333,21,0)&amp;""</f>
        <v>Yes</v>
      </c>
      <c r="H68" s="185"/>
      <c r="I68" s="45" t="str">
        <f>VLOOKUP($A68,Questions!$A$2:$X$333,23,0)&amp;""</f>
        <v>Minor Importance</v>
      </c>
      <c r="J68" s="185"/>
      <c r="K68" s="48" t="b">
        <v>0</v>
      </c>
      <c r="L68" s="55"/>
      <c r="M68" s="1"/>
    </row>
    <row r="69" spans="1:13" s="29" customFormat="1" ht="129.6" x14ac:dyDescent="0.25">
      <c r="A69" s="19" t="str">
        <f>'START HERE'!$A$26</f>
        <v>COMP-04</v>
      </c>
      <c r="B69" s="20" t="str">
        <f>VLOOKUP($A69,'START HERE'!$A$13:$E$36,2,0)&amp;""</f>
        <v>Do you have a dedicated information security staff or office?</v>
      </c>
      <c r="C69" s="45" t="str">
        <f>VLOOKUP($A69,'START HERE'!$A$13:$E$36,3,0)&amp;""</f>
        <v>Yes</v>
      </c>
      <c r="D69" s="34" t="str">
        <f>IF(LEFT(VLOOKUP($A69,'START HERE'!$A$13:$E$36,5,0),21)='Auto Responses'!$A$32,'Auto Responses'!$A$33,VLOOKUP($A69,'START HERE'!$A$13:$E$36,4,0))&amp;""</f>
        <v>Joseph Thibault serves as named Information Security Officer; AWS engineering contractor (India) supports security implementation under direct supervision.</v>
      </c>
      <c r="E69" s="332" t="str">
        <f>VLOOKUP($A69,'START HERE'!$A$13:$E$36,5,0)&amp;""</f>
        <v>Describe your information security office, including size, talents, resources, etc.</v>
      </c>
      <c r="F69" s="192"/>
      <c r="G69" s="30" t="str">
        <f>VLOOKUP($A69,Questions!$A$2:$X$333,21,0)&amp;""</f>
        <v>Yes</v>
      </c>
      <c r="H69" s="185"/>
      <c r="I69" s="45" t="str">
        <f>VLOOKUP($A69,Questions!$A$2:$X$333,23,0)&amp;""</f>
        <v>Minor Importance</v>
      </c>
      <c r="J69" s="185"/>
      <c r="K69" s="48" t="b">
        <v>0</v>
      </c>
      <c r="L69" s="55"/>
      <c r="M69" s="1"/>
    </row>
    <row r="70" spans="1:13" s="29" customFormat="1" ht="356.4" x14ac:dyDescent="0.25">
      <c r="A70" s="19" t="str">
        <f>'START HERE'!$A$27</f>
        <v>COMP-05</v>
      </c>
      <c r="B70" s="20" t="str">
        <f>VLOOKUP($A70,'START HERE'!$A$13:$E$36,2,0)&amp;""</f>
        <v>Use this area to share information about your environment that will assist those who are assessing your company's data security program.</v>
      </c>
      <c r="C70" s="305" t="str">
        <f>VLOOKUP($A70,'START HERE'!$A$13:$E$36,3,0)&amp;""</f>
        <v xml:space="preserve">We build security and privacy into our product by design. Our secure environment is wholly hosted in AWS using best practice software and cloud architecture. We do not collect personal identifiable information such as email, name, address, etc. Any data collected for processing is stored locally, if applicable, shared with us a transient data which is deleted after processing, we retain only processed authorship payload, not raw logs. Data is de-identified by default. </v>
      </c>
      <c r="D70" s="306" t="str">
        <f>IF(LEFT(VLOOKUP($A70,'START HERE'!$A$13:$E$36,5,0),21)='Auto Responses'!$A$32,'Auto Responses'!$A$33,VLOOKUP($A70,'START HERE'!$A$13:$E$36,4,0))&amp;""</f>
        <v/>
      </c>
      <c r="E70" s="332" t="str">
        <f>VLOOKUP($A70,'START HERE'!$A$13:$E$36,5,0)&amp;""</f>
        <v>Share any details that would help information security analysts assess your solution.</v>
      </c>
      <c r="F70" s="192"/>
      <c r="G70" s="30" t="str">
        <f>VLOOKUP($A70,Questions!$A$2:$X$333,21,0)&amp;""</f>
        <v>Not scored</v>
      </c>
      <c r="H70" s="185"/>
      <c r="I70" s="45" t="b">
        <f>A2=VLOOKUP($A70,Questions!$A$2:$X$333,23,0)&amp;""</f>
        <v>0</v>
      </c>
      <c r="J70" s="185"/>
      <c r="K70" s="48" t="b">
        <v>0</v>
      </c>
      <c r="L70" s="55"/>
      <c r="M70" s="1"/>
    </row>
    <row r="71" spans="1:13" s="1" customFormat="1" ht="18" thickBot="1" x14ac:dyDescent="0.3">
      <c r="A71" s="63" t="str">
        <f>VLOOKUP(LEFT($A72,4),'Auto Responses'!$N$4:$O$38,2,0)&amp;""</f>
        <v xml:space="preserve"> Required Questions</v>
      </c>
      <c r="B71" s="22"/>
      <c r="C71" s="31"/>
      <c r="D71" s="31"/>
      <c r="E71" s="331"/>
      <c r="F71" s="131" t="s">
        <v>1030</v>
      </c>
      <c r="G71" s="335" t="s">
        <v>869</v>
      </c>
      <c r="H71" s="335" t="s">
        <v>871</v>
      </c>
      <c r="I71" s="335" t="s">
        <v>19</v>
      </c>
      <c r="J71" s="335" t="s">
        <v>856</v>
      </c>
      <c r="K71" s="335" t="s">
        <v>867</v>
      </c>
      <c r="L71" s="55"/>
    </row>
    <row r="72" spans="1:13" s="29" customFormat="1" ht="64.8" x14ac:dyDescent="0.25">
      <c r="A72" s="19" t="str">
        <f>'START HERE'!$A$29</f>
        <v>REQU-01</v>
      </c>
      <c r="B72" s="20" t="str">
        <f>VLOOKUP($A72,'START HERE'!$A$13:$E$36,2,0)&amp;""</f>
        <v>Are you offering a cloud-based product?</v>
      </c>
      <c r="C72" s="45" t="str">
        <f>VLOOKUP($A72,'START HERE'!$A$13:$E$36,3,0)&amp;""</f>
        <v>Yes</v>
      </c>
      <c r="D72" s="34" t="str">
        <f>IF(LEFT(VLOOKUP($A72,'START HERE'!$A$13:$E$36,5,0),21)='Auto Responses'!$A$32,'Auto Responses'!$A$33,VLOOKUP($A72,'START HERE'!$A$13:$E$36,4,0))&amp;""</f>
        <v/>
      </c>
      <c r="E72" s="330" t="str">
        <f>VLOOKUP($A72,'START HERE'!$A$13:$E$36,5,0)&amp;""</f>
        <v>DO complete the Product and Infrastructure worksheets</v>
      </c>
      <c r="F72" s="193"/>
      <c r="G72" s="30" t="str">
        <f>VLOOKUP($A72,Questions!$A$2:$X$333,21,0)&amp;""</f>
        <v>Not scored</v>
      </c>
      <c r="H72" s="185"/>
      <c r="I72" s="45" t="str">
        <f>VLOOKUP($A72,Questions!$A$2:$X$333,23,0)&amp;""</f>
        <v/>
      </c>
      <c r="J72" s="185"/>
      <c r="K72" s="154" t="b">
        <v>0</v>
      </c>
      <c r="L72" s="55"/>
      <c r="M72" s="1"/>
    </row>
    <row r="73" spans="1:13" s="29" customFormat="1" ht="64.8" x14ac:dyDescent="0.25">
      <c r="A73" s="19" t="str">
        <f>'START HERE'!$A$30</f>
        <v>REQU-02</v>
      </c>
      <c r="B73" s="20" t="str">
        <f>VLOOKUP($A73,'START HERE'!$A$13:$E$36,2,0)&amp;""</f>
        <v>Does your product or service have an interface?</v>
      </c>
      <c r="C73" s="45" t="str">
        <f>VLOOKUP($A73,'START HERE'!$A$13:$E$36,3,0)&amp;""</f>
        <v>Yes</v>
      </c>
      <c r="D73" s="34" t="str">
        <f>IF(LEFT(VLOOKUP($A73,'START HERE'!$A$13:$E$36,5,0),21)='Auto Responses'!$A$32,'Auto Responses'!$A$33,VLOOKUP($A73,'START HERE'!$A$13:$E$36,4,0))&amp;""</f>
        <v xml:space="preserve">We provide interface directly in the LMS, or via the chrome extension. </v>
      </c>
      <c r="E73" s="330" t="str">
        <f>VLOOKUP($A73,'START HERE'!$A$13:$E$36,5,0)&amp;""</f>
        <v>DO complete the IT Accessibility worksheet.</v>
      </c>
      <c r="F73" s="188"/>
      <c r="G73" s="30" t="str">
        <f>VLOOKUP($A73,Questions!$A$2:$X$333,21,0)&amp;""</f>
        <v>Not scored</v>
      </c>
      <c r="H73" s="185"/>
      <c r="I73" s="45" t="str">
        <f>VLOOKUP($A73,Questions!$A$2:$X$333,23,0)&amp;""</f>
        <v/>
      </c>
      <c r="J73" s="185"/>
      <c r="K73" s="48" t="b">
        <v>0</v>
      </c>
      <c r="L73" s="55"/>
      <c r="M73" s="1"/>
    </row>
    <row r="74" spans="1:13" s="29" customFormat="1" ht="64.8" x14ac:dyDescent="0.25">
      <c r="A74" s="19" t="str">
        <f>'START HERE'!$A$31</f>
        <v>REQU-03</v>
      </c>
      <c r="B74" s="20" t="str">
        <f>VLOOKUP($A74,'START HERE'!$A$13:$E$36,2,0)&amp;""</f>
        <v>Are you providing consulting services?</v>
      </c>
      <c r="C74" s="45" t="str">
        <f>VLOOKUP($A74,'START HERE'!$A$13:$E$36,3,0)&amp;""</f>
        <v>No</v>
      </c>
      <c r="D74" s="34" t="str">
        <f>IF(LEFT(VLOOKUP($A74,'START HERE'!$A$13:$E$36,5,0),21)='Auto Responses'!$A$32,'Auto Responses'!$A$33,VLOOKUP($A74,'START HERE'!$A$13:$E$36,4,0))&amp;""</f>
        <v/>
      </c>
      <c r="E74" s="330" t="str">
        <f>VLOOKUP($A74,'START HERE'!$A$13:$E$36,5,0)&amp;""</f>
        <v>DO NOT complete the Consulting section in the Case-Specific worksheet</v>
      </c>
      <c r="F74" s="188"/>
      <c r="G74" s="30" t="str">
        <f>VLOOKUP($A74,Questions!$A$2:$X$333,21,0)&amp;""</f>
        <v>Not scored</v>
      </c>
      <c r="H74" s="185"/>
      <c r="I74" s="45" t="str">
        <f>VLOOKUP($A74,Questions!$A$2:$X$333,23,0)&amp;""</f>
        <v/>
      </c>
      <c r="J74" s="185"/>
      <c r="K74" s="48" t="b">
        <v>0</v>
      </c>
      <c r="L74" s="55"/>
      <c r="M74" s="1"/>
    </row>
    <row r="75" spans="1:13" s="29" customFormat="1" ht="81" x14ac:dyDescent="0.25">
      <c r="A75" s="19" t="str">
        <f>'START HERE'!$A$32</f>
        <v>REQU-04</v>
      </c>
      <c r="B75" s="20" t="str">
        <f>VLOOKUP($A75,'START HERE'!$A$13:$E$36,2,0)&amp;""</f>
        <v>Does your solution have AI features, or are there plans to implement AI features in the next 12 months?</v>
      </c>
      <c r="C75" s="45" t="str">
        <f>VLOOKUP($A75,'START HERE'!$A$13:$E$36,3,0)&amp;""</f>
        <v>Yes</v>
      </c>
      <c r="D75" s="34" t="str">
        <f>IF(LEFT(VLOOKUP($A75,'START HERE'!$A$13:$E$36,5,0),21)='Auto Responses'!$A$32,'Auto Responses'!$A$33,VLOOKUP($A75,'START HERE'!$A$13:$E$36,4,0))&amp;""</f>
        <v>We leverage two proprietary machine learning models, keyread and copy-behavior.</v>
      </c>
      <c r="E75" s="330" t="str">
        <f>VLOOKUP($A75,'START HERE'!$A$13:$E$36,5,0)&amp;""</f>
        <v>DO complete the Artificial Intelligence (AI) worksheet</v>
      </c>
      <c r="F75" s="188"/>
      <c r="G75" s="30" t="str">
        <f>VLOOKUP($A75,Questions!$A$2:$X$333,21,0)&amp;""</f>
        <v>Not scored</v>
      </c>
      <c r="H75" s="185"/>
      <c r="I75" s="45" t="str">
        <f>VLOOKUP($A75,Questions!$A$2:$X$333,23,0)&amp;""</f>
        <v/>
      </c>
      <c r="J75" s="185"/>
      <c r="K75" s="48" t="b">
        <v>0</v>
      </c>
      <c r="L75" s="55"/>
      <c r="M75" s="1"/>
    </row>
    <row r="76" spans="1:13" s="29" customFormat="1" ht="64.8" x14ac:dyDescent="0.25">
      <c r="A76" s="19" t="str">
        <f>'START HERE'!$A$33</f>
        <v>REQU-05</v>
      </c>
      <c r="B76" s="20" t="str">
        <f>VLOOKUP($A76,'START HERE'!$A$13:$E$36,2,0)&amp;""</f>
        <v>Does your solution process protected health information (PHI) or any data covered by the Health Insurance Portability and Accountability Act (HIPAA)?</v>
      </c>
      <c r="C76" s="45" t="str">
        <f>VLOOKUP($A76,'START HERE'!$A$13:$E$36,3,0)&amp;""</f>
        <v>No</v>
      </c>
      <c r="D76" s="34" t="str">
        <f>IF(LEFT(VLOOKUP($A76,'START HERE'!$A$13:$E$36,5,0),21)='Auto Responses'!$A$32,'Auto Responses'!$A$33,VLOOKUP($A76,'START HERE'!$A$13:$E$36,4,0))&amp;""</f>
        <v/>
      </c>
      <c r="E76" s="330" t="str">
        <f>VLOOKUP($A76,'START HERE'!$A$13:$E$36,5,0)&amp;""</f>
        <v>DO NOT complete the HIPAA section in the Case-Specific worksheet</v>
      </c>
      <c r="F76" s="188"/>
      <c r="G76" s="30" t="str">
        <f>VLOOKUP($A76,Questions!$A$2:$X$333,21,0)&amp;""</f>
        <v>Not scored</v>
      </c>
      <c r="H76" s="185"/>
      <c r="I76" s="45" t="str">
        <f>VLOOKUP($A76,Questions!$A$2:$X$333,23,0)&amp;""</f>
        <v/>
      </c>
      <c r="J76" s="185"/>
      <c r="K76" s="48" t="b">
        <v>0</v>
      </c>
      <c r="L76" s="55"/>
      <c r="M76" s="1"/>
    </row>
    <row r="77" spans="1:13" s="29" customFormat="1" ht="64.8" x14ac:dyDescent="0.25">
      <c r="A77" s="19" t="str">
        <f>'START HERE'!$A$34</f>
        <v>REQU-06</v>
      </c>
      <c r="B77" s="20" t="str">
        <f>VLOOKUP($A77,'START HERE'!$A$13:$E$36,2,0)&amp;""</f>
        <v>Is the solution designed to process, store, or transmit credit card information?</v>
      </c>
      <c r="C77" s="45" t="str">
        <f>VLOOKUP($A77,'START HERE'!$A$13:$E$36,3,0)&amp;""</f>
        <v>No</v>
      </c>
      <c r="D77" s="34" t="str">
        <f>IF(LEFT(VLOOKUP($A77,'START HERE'!$A$13:$E$36,5,0),21)='Auto Responses'!$A$32,'Auto Responses'!$A$33,VLOOKUP($A77,'START HERE'!$A$13:$E$36,4,0))&amp;""</f>
        <v/>
      </c>
      <c r="E77" s="330" t="str">
        <f>VLOOKUP($A77,'START HERE'!$A$13:$E$36,5,0)&amp;""</f>
        <v>DO NOT complete the PCI-DSS section in the Case-Specific worksheet</v>
      </c>
      <c r="F77" s="188"/>
      <c r="G77" s="30" t="str">
        <f>VLOOKUP($A77,Questions!$A$2:$X$333,21,0)&amp;""</f>
        <v>Not scored</v>
      </c>
      <c r="H77" s="185"/>
      <c r="I77" s="45" t="str">
        <f>VLOOKUP($A77,Questions!$A$2:$X$333,23,0)&amp;""</f>
        <v/>
      </c>
      <c r="J77" s="185"/>
      <c r="K77" s="48" t="b">
        <v>0</v>
      </c>
      <c r="L77" s="55"/>
      <c r="M77" s="1"/>
    </row>
    <row r="78" spans="1:13" s="29" customFormat="1" ht="64.8" x14ac:dyDescent="0.25">
      <c r="A78" s="19" t="str">
        <f>'START HERE'!$A$35</f>
        <v>REQU-07</v>
      </c>
      <c r="B78" s="20" t="str">
        <f>VLOOKUP($A78,'START HERE'!$A$13:$E$36,2,0)&amp;""</f>
        <v>Does operating your solution require the institution to operate a physical or virtual appliance in their own environment or to provide inbound firewall exceptions to allow your employees to remotely administer systems in the institution's environment?</v>
      </c>
      <c r="C78" s="45" t="str">
        <f>VLOOKUP($A78,'START HERE'!$A$13:$E$36,3,0)&amp;""</f>
        <v>No</v>
      </c>
      <c r="D78" s="34" t="str">
        <f>IF(LEFT(VLOOKUP($A78,'START HERE'!$A$13:$E$36,5,0),21)='Auto Responses'!$A$32,'Auto Responses'!$A$33,VLOOKUP($A78,'START HERE'!$A$13:$E$36,4,0))&amp;""</f>
        <v/>
      </c>
      <c r="E78" s="330" t="str">
        <f>VLOOKUP($A78,'START HERE'!$A$13:$E$36,5,0)&amp;""</f>
        <v>DO NOT complete the On-Prem section in the Case-Specific worksheet</v>
      </c>
      <c r="F78" s="188"/>
      <c r="G78" s="30" t="str">
        <f>VLOOKUP($A78,Questions!$A$2:$X$333,21,0)&amp;""</f>
        <v>Not scored</v>
      </c>
      <c r="H78" s="185"/>
      <c r="I78" s="45" t="str">
        <f>VLOOKUP($A78,Questions!$A$2:$X$333,23,0)&amp;""</f>
        <v/>
      </c>
      <c r="J78" s="185"/>
      <c r="K78" s="48" t="b">
        <v>0</v>
      </c>
      <c r="L78" s="55"/>
      <c r="M78" s="1"/>
    </row>
    <row r="79" spans="1:13" s="29" customFormat="1" ht="162.6" thickBot="1" x14ac:dyDescent="0.3">
      <c r="A79" s="19" t="str">
        <f>'START HERE'!$A$36</f>
        <v>REQU-08</v>
      </c>
      <c r="B79" s="20" t="str">
        <f>VLOOKUP($A79,'START HERE'!$A$13:$E$36,2,0)&amp;""</f>
        <v>Does your solution have access to personal or institutional data?</v>
      </c>
      <c r="C79" s="45" t="str">
        <f>VLOOKUP($A79,'START HERE'!$A$13:$E$36,3,0)&amp;""</f>
        <v>Yes</v>
      </c>
      <c r="D79" s="34" t="str">
        <f>IF(LEFT(VLOOKUP($A79,'START HERE'!$A$13:$E$36,5,0),21)='Auto Responses'!$A$32,'Auto Responses'!$A$33,VLOOKUP($A79,'START HERE'!$A$13:$E$36,4,0))&amp;""</f>
        <v xml:space="preserve">Institutionally collected data is relayed to our API for processing, this is the minimum data required for Cursive to perform it's contractual service: verification of authorship, and transparency in text creation. </v>
      </c>
      <c r="E79" s="330" t="str">
        <f>VLOOKUP($A79,'START HERE'!$A$13:$E$36,5,0)&amp;""</f>
        <v>DO complete the Privacy tab</v>
      </c>
      <c r="F79" s="194"/>
      <c r="G79" s="30" t="str">
        <f>VLOOKUP($A79,Questions!$A$2:$X$333,21,0)&amp;""</f>
        <v>Not scored</v>
      </c>
      <c r="H79" s="185"/>
      <c r="I79" s="45" t="str">
        <f>VLOOKUP($A79,Questions!$A$2:$X$333,23,0)&amp;""</f>
        <v/>
      </c>
      <c r="J79" s="185"/>
      <c r="K79" s="152" t="b">
        <v>0</v>
      </c>
      <c r="L79" s="55"/>
      <c r="M79" s="1"/>
    </row>
    <row r="80" spans="1:13" s="1" customFormat="1" ht="17.399999999999999" x14ac:dyDescent="0.25">
      <c r="A80" s="63" t="str">
        <f>VLOOKUP(LEFT($A81,4),'Auto Responses'!$N$4:$O$38,2,0)&amp;""</f>
        <v xml:space="preserve"> Documentation</v>
      </c>
      <c r="B80" s="22"/>
      <c r="C80" s="31"/>
      <c r="D80" s="31"/>
      <c r="E80" s="331"/>
      <c r="F80" s="131" t="s">
        <v>1030</v>
      </c>
      <c r="G80" s="335" t="s">
        <v>869</v>
      </c>
      <c r="H80" s="335" t="s">
        <v>871</v>
      </c>
      <c r="I80" s="335" t="s">
        <v>19</v>
      </c>
      <c r="J80" s="335" t="s">
        <v>856</v>
      </c>
      <c r="K80" s="335" t="s">
        <v>867</v>
      </c>
    </row>
    <row r="81" spans="1:12" s="29" customFormat="1" ht="64.8" x14ac:dyDescent="0.25">
      <c r="A81" s="19" t="str">
        <f>Organization!$A$22</f>
        <v>DOCU-01</v>
      </c>
      <c r="B81" s="20" t="str">
        <f>VLOOKUP($A81,Organization!$A$13:$E$67,2,0)&amp;""</f>
        <v>Do you have a well-documented business continuity plan (BCP), with a clear owner, that is tested annually?*</v>
      </c>
      <c r="C81" s="45" t="str">
        <f>VLOOKUP($A81,Organization!$A$13:$E$67,3,0)&amp;""</f>
        <v>Yes</v>
      </c>
      <c r="D81" s="34" t="str">
        <f>IF(LEFT(VLOOKUP($A81,Organization!$A$13:$E$67,5,0),21)='Auto Responses'!$A$32,'Auto Responses'!$A$33,VLOOKUP($A81,Organization!$A$13:$E$67,4,0))&amp;""</f>
        <v>Cursive Technology Policies, Procedures, &amp; Information Security Policy</v>
      </c>
      <c r="E81" s="330" t="str">
        <f>VLOOKUP($A81,Organization!$A$13:$E$67,5,0)&amp;""</f>
        <v/>
      </c>
      <c r="F81" s="195"/>
      <c r="G81" s="30" t="str">
        <f>VLOOKUP($A81,Questions!$A$2:$X$333,21,0)&amp;""</f>
        <v>Yes</v>
      </c>
      <c r="H81" s="185"/>
      <c r="I81" s="45" t="str">
        <f>VLOOKUP($A81,Questions!$A$2:$X$333,23,0)&amp;""</f>
        <v>Critical Importance</v>
      </c>
      <c r="J81" s="185"/>
      <c r="K81" s="48" t="b">
        <v>0</v>
      </c>
      <c r="L81" s="1"/>
    </row>
    <row r="82" spans="1:12" s="29" customFormat="1" ht="64.8" x14ac:dyDescent="0.25">
      <c r="A82" s="19" t="str">
        <f>Organization!$A$23</f>
        <v>DOCU-02</v>
      </c>
      <c r="B82" s="20" t="str">
        <f>VLOOKUP($A82,Organization!$A$13:$E$67,2,0)&amp;""</f>
        <v>Do you have a well-documented disaster recovery plan (DRP), with a clear owner, that is tested annually?*</v>
      </c>
      <c r="C82" s="45" t="str">
        <f>VLOOKUP($A82,Organization!$A$13:$E$67,3,0)&amp;""</f>
        <v>Yes</v>
      </c>
      <c r="D82" s="34" t="str">
        <f>IF(LEFT(VLOOKUP($A82,Organization!$A$13:$E$67,5,0),21)='Auto Responses'!$A$32,'Auto Responses'!$A$33,VLOOKUP($A82,Organization!$A$13:$E$67,4,0))&amp;""</f>
        <v xml:space="preserve">Cursive Technology Policies, Procedures, &amp; Information Security Policy </v>
      </c>
      <c r="E82" s="330" t="str">
        <f>VLOOKUP($A82,Organization!$A$13:$E$67,5,0)&amp;""</f>
        <v/>
      </c>
      <c r="F82" s="195"/>
      <c r="G82" s="30" t="str">
        <f>VLOOKUP($A82,Questions!$A$2:$X$333,21,0)&amp;""</f>
        <v>Yes</v>
      </c>
      <c r="H82" s="185"/>
      <c r="I82" s="45" t="str">
        <f>VLOOKUP($A82,Questions!$A$2:$X$333,23,0)&amp;""</f>
        <v>Critical Importance</v>
      </c>
      <c r="J82" s="185"/>
      <c r="K82" s="48" t="b">
        <v>0</v>
      </c>
      <c r="L82" s="1"/>
    </row>
    <row r="83" spans="1:12" s="29" customFormat="1" ht="243" x14ac:dyDescent="0.25">
      <c r="A83" s="19" t="str">
        <f>Organization!$A$24</f>
        <v>DOCU-03</v>
      </c>
      <c r="B83" s="20" t="str">
        <f>VLOOKUP($A83,Organization!$A$13:$E$67,2,0)&amp;""</f>
        <v>Have you undergone a SSAE 18/SOC 2 audit?</v>
      </c>
      <c r="C83" s="45" t="str">
        <f>VLOOKUP($A83,Organization!$A$13:$E$67,3,0)&amp;""</f>
        <v>No</v>
      </c>
      <c r="D83" s="34" t="str">
        <f>IF(LEFT(VLOOKUP($A83,Organization!$A$13:$E$67,5,0),21)='Auto Responses'!$A$32,'Auto Responses'!$A$33,VLOOKUP($A83,Organization!$A$13:$E$67,4,0))&amp;""</f>
        <v>Not yet pursued. AWS infrastructure (which underlies Cursive's environment) is SOC 2 Type 2 certified. Cursive has hired a dedicated AWS EKS engineer building infrastructure-from-scratch with the explicit goal of achieving AWS security certification followed by SOC 1/SOC 2 attestation.</v>
      </c>
      <c r="E83" s="330" t="str">
        <f>VLOOKUP($A83,Organization!$A$13:$E$67,5,0)&amp;""</f>
        <v>Describe any plans to undergo a SSAE 18 audit.</v>
      </c>
      <c r="F83" s="195"/>
      <c r="G83" s="30" t="str">
        <f>VLOOKUP($A83,Questions!$A$2:$X$333,21,0)&amp;""</f>
        <v>Yes</v>
      </c>
      <c r="H83" s="185"/>
      <c r="I83" s="45" t="str">
        <f>VLOOKUP($A83,Questions!$A$2:$X$333,23,0)&amp;""</f>
        <v>Standard Importance</v>
      </c>
      <c r="J83" s="185"/>
      <c r="K83" s="48" t="b">
        <v>0</v>
      </c>
      <c r="L83" s="1"/>
    </row>
    <row r="84" spans="1:12" s="29" customFormat="1" ht="81" x14ac:dyDescent="0.25">
      <c r="A84" s="19" t="str">
        <f>Organization!$A$25</f>
        <v>DOCU-04</v>
      </c>
      <c r="B84" s="20" t="str">
        <f>VLOOKUP($A84,Organization!$A$13:$E$67,2,0)&amp;""</f>
        <v>Do you conform with a specific industry standard security framework (e.g., NIST Cybersecurity Framework, CIS Controls, ISO 27001, etc.)?</v>
      </c>
      <c r="C84" s="45" t="str">
        <f>VLOOKUP($A84,Organization!$A$13:$E$67,3,0)&amp;""</f>
        <v>No</v>
      </c>
      <c r="D84" s="34" t="str">
        <f>IF(LEFT(VLOOKUP($A84,Organization!$A$13:$E$67,5,0),21)='Auto Responses'!$A$32,'Auto Responses'!$A$33,VLOOKUP($A84,Organization!$A$13:$E$67,4,0))&amp;""</f>
        <v>We align with NIST 800-53 controls in our policy framework but have not pursued certification.</v>
      </c>
      <c r="E84" s="330" t="str">
        <f>VLOOKUP($A84,Organization!$A$13:$E$67,5,0)&amp;""</f>
        <v>Describe any plans to conform to an industry standard security framework.</v>
      </c>
      <c r="F84" s="195"/>
      <c r="G84" s="30" t="str">
        <f>VLOOKUP($A84,Questions!$A$2:$X$333,21,0)&amp;""</f>
        <v>Yes</v>
      </c>
      <c r="H84" s="185"/>
      <c r="I84" s="45" t="str">
        <f>VLOOKUP($A84,Questions!$A$2:$X$333,23,0)&amp;""</f>
        <v>Standard Importance</v>
      </c>
      <c r="J84" s="185"/>
      <c r="K84" s="48" t="b">
        <v>0</v>
      </c>
      <c r="L84" s="1"/>
    </row>
    <row r="85" spans="1:12" s="29" customFormat="1" ht="145.80000000000001" x14ac:dyDescent="0.25">
      <c r="A85" s="19" t="str">
        <f>Organization!$A$26</f>
        <v>DOCU-05</v>
      </c>
      <c r="B85" s="20" t="str">
        <f>VLOOKUP($A85,Organization!$A$13:$E$67,2,0)&amp;""</f>
        <v>Can you provide overall system and/or application architecture diagrams, including a full description of the data flow for all components of the system?</v>
      </c>
      <c r="C85" s="45" t="str">
        <f>VLOOKUP($A85,Organization!$A$13:$E$67,3,0)&amp;""</f>
        <v>Yes</v>
      </c>
      <c r="D85" s="34" t="str">
        <f>IF(LEFT(VLOOKUP($A85,Organization!$A$13:$E$67,5,0),21)='Auto Responses'!$A$32,'Auto Responses'!$A$33,VLOOKUP($A85,Organization!$A$13:$E$67,4,0))&amp;""</f>
        <v>Available at https://cursive-shared.s3.us-east-1.amazonaws.com/Cursive+Information+System+%26+Baseline+Configuration.pdf — under refresh as part of EKS migration</v>
      </c>
      <c r="E85" s="330" t="str">
        <f>VLOOKUP($A85,Organization!$A$13:$E$67,5,0)&amp;""</f>
        <v>Provide your diagrams (or a valid link to it) upon submission.</v>
      </c>
      <c r="F85" s="195"/>
      <c r="G85" s="30" t="str">
        <f>VLOOKUP($A85,Questions!$A$2:$X$333,21,0)&amp;""</f>
        <v>Yes</v>
      </c>
      <c r="H85" s="185"/>
      <c r="I85" s="45" t="str">
        <f>VLOOKUP($A85,Questions!$A$2:$X$333,23,0)&amp;""</f>
        <v>Standard Importance</v>
      </c>
      <c r="J85" s="185"/>
      <c r="K85" s="48" t="b">
        <v>0</v>
      </c>
      <c r="L85" s="1"/>
    </row>
    <row r="86" spans="1:12" s="29" customFormat="1" ht="64.8" x14ac:dyDescent="0.25">
      <c r="A86" s="19" t="str">
        <f>Organization!$A$27</f>
        <v>DOCU-06</v>
      </c>
      <c r="B86" s="20" t="str">
        <f>VLOOKUP($A86,Organization!$A$13:$E$67,2,0)&amp;""</f>
        <v>Does your organization have a data privacy policy?</v>
      </c>
      <c r="C86" s="45" t="str">
        <f>VLOOKUP($A86,Organization!$A$13:$E$67,3,0)&amp;""</f>
        <v>Yes</v>
      </c>
      <c r="D86" s="34" t="str">
        <f>IF(LEFT(VLOOKUP($A86,Organization!$A$13:$E$67,5,0),21)='Auto Responses'!$A$32,'Auto Responses'!$A$33,VLOOKUP($A86,Organization!$A$13:$E$67,4,0))&amp;""</f>
        <v>https://cursivetechnology.com/privacy-policy/</v>
      </c>
      <c r="E86" s="330" t="str">
        <f>VLOOKUP($A86,Organization!$A$13:$E$67,5,0)&amp;""</f>
        <v>Provide your data privacy document (or a valid link to it) upon submission.</v>
      </c>
      <c r="F86" s="195"/>
      <c r="G86" s="30" t="str">
        <f>VLOOKUP($A86,Questions!$A$2:$X$333,21,0)&amp;""</f>
        <v>Yes</v>
      </c>
      <c r="H86" s="185"/>
      <c r="I86" s="45" t="str">
        <f>VLOOKUP($A86,Questions!$A$2:$X$333,23,0)&amp;""</f>
        <v>Standard Importance</v>
      </c>
      <c r="J86" s="185"/>
      <c r="K86" s="48" t="b">
        <v>0</v>
      </c>
      <c r="L86" s="1"/>
    </row>
    <row r="87" spans="1:12" s="29" customFormat="1" ht="145.80000000000001" x14ac:dyDescent="0.25">
      <c r="A87" s="19" t="str">
        <f>Organization!$A$28</f>
        <v>DOCU-07</v>
      </c>
      <c r="B87" s="20" t="str">
        <f>VLOOKUP($A87,Organization!$A$13:$E$67,2,0)&amp;""</f>
        <v>Do you have a documented, and currently implemented, employee onboarding and offboarding policy?</v>
      </c>
      <c r="C87" s="45" t="str">
        <f>VLOOKUP($A87,Organization!$A$13:$E$67,3,0)&amp;""</f>
        <v>Yes</v>
      </c>
      <c r="D87" s="34" t="str">
        <f>IF(LEFT(VLOOKUP($A87,Organization!$A$13:$E$67,5,0),21)='Auto Responses'!$A$32,'Auto Responses'!$A$33,VLOOKUP($A87,Organization!$A$13:$E$67,4,0))&amp;""</f>
        <v xml:space="preserve">Cursive Technology Policies, Procedures, &amp; Information Security Policy </v>
      </c>
      <c r="E87" s="330" t="str">
        <f>VLOOKUP($A87,Organization!$A$13:$E$67,5,0)&amp;""</f>
        <v>Provide a reference to your employee onboarding and offboarding policy and supporting documentation or submit it along with this fully populated HECVAT.</v>
      </c>
      <c r="F87" s="195"/>
      <c r="G87" s="30" t="str">
        <f>VLOOKUP($A87,Questions!$A$2:$X$333,21,0)&amp;""</f>
        <v>Yes</v>
      </c>
      <c r="H87" s="185"/>
      <c r="I87" s="45" t="str">
        <f>VLOOKUP($A87,Questions!$A$2:$X$333,23,0)&amp;""</f>
        <v>Standard Importance</v>
      </c>
      <c r="J87" s="185"/>
      <c r="K87" s="48" t="b">
        <v>0</v>
      </c>
      <c r="L87" s="1"/>
    </row>
    <row r="88" spans="1:12" s="1" customFormat="1" ht="17.399999999999999" x14ac:dyDescent="0.25">
      <c r="A88" s="63" t="str">
        <f>VLOOKUP(LEFT($A89,4),'Auto Responses'!$N$4:$O$38,2,0)&amp;""</f>
        <v xml:space="preserve"> Assessment of Third Parties</v>
      </c>
      <c r="B88" s="22"/>
      <c r="C88" s="31"/>
      <c r="D88" s="31"/>
      <c r="E88" s="331"/>
      <c r="F88" s="131" t="s">
        <v>1030</v>
      </c>
      <c r="G88" s="335" t="s">
        <v>869</v>
      </c>
      <c r="H88" s="335" t="s">
        <v>871</v>
      </c>
      <c r="I88" s="335" t="s">
        <v>19</v>
      </c>
      <c r="J88" s="335" t="s">
        <v>856</v>
      </c>
      <c r="K88" s="335" t="s">
        <v>867</v>
      </c>
    </row>
    <row r="89" spans="1:12" s="29" customFormat="1" ht="409.6" x14ac:dyDescent="0.25">
      <c r="A89" s="19" t="str">
        <f>Organization!$A$30</f>
        <v>THRD-01</v>
      </c>
      <c r="B89" s="20" t="str">
        <f>VLOOKUP($A89,Organization!$A$13:$E$67,2,0)&amp;""</f>
        <v>Do you perform security assessments of third-party companies with which you share data (e.g., hosting providers, cloud services, PaaS, IaaS, SaaS)?*</v>
      </c>
      <c r="C89" s="45" t="str">
        <f>VLOOKUP($A89,Organization!$A$13:$E$67,3,0)&amp;""</f>
        <v>Yes</v>
      </c>
      <c r="D89" s="34" t="str">
        <f>IF(LEFT(VLOOKUP($A89,Organization!$A$13:$E$67,5,0),21)='Auto Responses'!$A$32,'Auto Responses'!$A$33,VLOOKUP($A89,Organization!$A$13:$E$67,4,0))&amp;""</f>
        <v>Cursive performs security assessment of third-party companies as part of subprocessor selection per the Cursive Vendor Management Policy. Evaluation criteria include: (1) third-party attestations (SOC 2 Type 2, ISO 27001, FedRAMP, HIPAA where applicable); (2) clear and publicly available privacy and security policies; (3) documentation supporting enterprise-level security practices; (4) regulatory compliance posture relevant to higher education (FERPA, state privacy laws, GDPR/PIPL where applicable); (5) data handling and breach notification commitments; (6) operational maturity indicators including support availability and incident response history. Subprocessors are reviewed at engagement and annually thereafter per the Cursive Compliance Policy and Procedure Review Calendar.</v>
      </c>
      <c r="E89" s="330" t="str">
        <f>VLOOKUP($A89,Organization!$A$13:$E$67,5,0)&amp;""</f>
        <v>Provide a summary of your practices that assures that the third party will be subject to the appropriate standards regarding security, service recoverability, and confidentiality.</v>
      </c>
      <c r="F89" s="195"/>
      <c r="G89" s="30" t="str">
        <f>VLOOKUP($A89,Questions!$A$2:$X$333,21,0)&amp;""</f>
        <v>Yes</v>
      </c>
      <c r="H89" s="185"/>
      <c r="I89" s="45" t="str">
        <f>VLOOKUP($A89,Questions!$A$2:$X$333,23,0)&amp;""</f>
        <v>Critical Importance</v>
      </c>
      <c r="J89" s="185"/>
      <c r="K89" s="48" t="b">
        <v>0</v>
      </c>
      <c r="L89" s="1"/>
    </row>
    <row r="90" spans="1:12" s="29" customFormat="1" ht="409.6" x14ac:dyDescent="0.25">
      <c r="A90" s="19" t="str">
        <f>Organization!$A$31</f>
        <v>THRD-02</v>
      </c>
      <c r="B90" s="20" t="str">
        <f>VLOOKUP($A90,Organization!$A$13:$E$67,2,0)&amp;""</f>
        <v>Do you have contractual language in place with third parties governing access to institutional data?*</v>
      </c>
      <c r="C90" s="45" t="str">
        <f>VLOOKUP($A90,Organization!$A$13:$E$67,3,0)&amp;""</f>
        <v>Yes</v>
      </c>
      <c r="D90" s="34" t="str">
        <f>IF(LEFT(VLOOKUP($A90,Organization!$A$13:$E$67,5,0),21)='Auto Responses'!$A$32,'Auto Responses'!$A$33,VLOOKUP($A90,Organization!$A$13:$E$67,4,0))&amp;""</f>
        <v>Cursive maintains contractual language governing third-party access to institutional data with all subprocessors that have any access to Cursive infrastructure or data flows. Standard contractual provisions include:
— Confidentiality and non-disclosure obligations covering institutional data and Cursive proprietary information;
— Data use limitations restricting use to the agreed service purpose only — no use of institutional data for marketing, advertising, training of subprocessor models, or any purpose beyond the engagement scope;
— Access controls requiring AWS IAM least-privilege scoping and MFA on all administrative access;
— For offshore engineering subprocessors (Brain-Station 23, AWS engineering contractor, Tech Worm LLC): explicit prohibition on use of institutional client data in any AI/ML training, scoping of access to non-production environments by default, and contractual restrictions on data export from US AWS regions;
— Notification obligations requiring subprocessor notice of any data security incident affecting institutional data;
— Audit and review rights enabling Cursive to verify subprocessor compliance;
— Termination provisions requiring secure data deletion at engagement end.
For AWS, contractual provisions flow through the AWS Customer Agreement and applicable Service Terms, including the AWS Data Processing Addendum where relevant. Subprocessor agreements are reviewed annually per the Cursive Compliance Policy and Procedure Review Calendar.</v>
      </c>
      <c r="E90" s="330" t="str">
        <f>VLOOKUP($A90,Organization!$A$13:$E$67,5,0)&amp;""</f>
        <v>List each third party and why institutional data is shared with them. Format example: [Third Party Name] - Reason</v>
      </c>
      <c r="F90" s="195"/>
      <c r="G90" s="30" t="str">
        <f>VLOOKUP($A90,Questions!$A$2:$X$333,21,0)&amp;""</f>
        <v>Yes</v>
      </c>
      <c r="H90" s="185"/>
      <c r="I90" s="45" t="str">
        <f>VLOOKUP($A90,Questions!$A$2:$X$333,23,0)&amp;""</f>
        <v>Critical Importance</v>
      </c>
      <c r="J90" s="185"/>
      <c r="K90" s="48" t="b">
        <v>0</v>
      </c>
      <c r="L90" s="1"/>
    </row>
    <row r="91" spans="1:12" s="29" customFormat="1" ht="409.6" x14ac:dyDescent="0.25">
      <c r="A91" s="19" t="str">
        <f>Organization!$A$32</f>
        <v>THRD-03</v>
      </c>
      <c r="B91" s="20" t="str">
        <f>VLOOKUP($A91,Organization!$A$13:$E$67,2,0)&amp;""</f>
        <v>Do the contracts in place with these third parties address liability in the event of a data breach?*</v>
      </c>
      <c r="C91" s="45" t="str">
        <f>VLOOKUP($A91,Organization!$A$13:$E$67,3,0)&amp;""</f>
        <v>No</v>
      </c>
      <c r="D91" s="34" t="str">
        <f>IF(LEFT(VLOOKUP($A91,Organization!$A$13:$E$67,5,0),21)='Auto Responses'!$A$32,'Auto Responses'!$A$33,VLOOKUP($A91,Organization!$A$13:$E$67,4,0))&amp;""</f>
        <v>Partly - Breach liability provisions vary by subprocessor based on the engagement scope and contract maturity:
AWS (primary infrastructure subprocessor): Comprehensive breach notification and liability provisions are in place through the AWS Customer Agreement, AWS Service Terms, and AWS Data Processing Addendum. AWS commits to standard breach notification timelines and supports downstream institutional notification commitments. AWS-side breach liability is governed by AWS's standard contractual terms applicable to all AWS customers.
Offshore engineering subprocessors (Brain-Station 23, AWS engineering contractor, Tech Worm LLC): Engagement agreements include NDA, confidentiality, and data-use limitation provisions. Explicit data breach notification timelines and quantified liability allocation provisions specific to security incidents are not currently uniformly documented in these subprocessor agreements. Practical breach risk is materially limited by the access architecture — these subprocessors operate in code/staging environments via AWS IAM least-privilege scoping and do not have standing access to institutional production data — but the contractual liability framework for breach scenarios is recognized as an area requiring formalization.
Operational SaaS subprocessors (Google Workspace, GitHub, Linear, Bitwarden, KnowBe4, Checkr, The Hanover): Breach liability is governed by each provider's standard customer agreement and applicable Data Processing Addendum where institutional data could theoretically be implicated. These subprocessors do not have access to institutional production data; their contracts cover data Cursive directly stores with them (internal documentation, source code, etc.) rather than institutional pass-through data.</v>
      </c>
      <c r="E91" s="330" t="str">
        <f>VLOOKUP($A91,Organization!$A$13:$E$67,5,0)&amp;""</f>
        <v/>
      </c>
      <c r="F91" s="195"/>
      <c r="G91" s="30" t="str">
        <f>VLOOKUP($A91,Questions!$A$2:$X$333,21,0)&amp;""</f>
        <v>Yes</v>
      </c>
      <c r="H91" s="185"/>
      <c r="I91" s="45" t="str">
        <f>VLOOKUP($A91,Questions!$A$2:$X$333,23,0)&amp;""</f>
        <v>Critical Importance</v>
      </c>
      <c r="J91" s="185"/>
      <c r="K91" s="48" t="b">
        <v>0</v>
      </c>
      <c r="L91" s="1"/>
    </row>
    <row r="92" spans="1:12" s="29" customFormat="1" ht="409.6" x14ac:dyDescent="0.25">
      <c r="A92" s="19" t="str">
        <f>Organization!$A$33</f>
        <v>THRD-04</v>
      </c>
      <c r="B92" s="20" t="str">
        <f>VLOOKUP($A92,Organization!$A$13:$E$67,2,0)&amp;""</f>
        <v>Do you have an implemented third-party management strategy?*</v>
      </c>
      <c r="C92" s="45" t="str">
        <f>VLOOKUP($A92,Organization!$A$13:$E$67,3,0)&amp;""</f>
        <v>Yes</v>
      </c>
      <c r="D92" s="34" t="str">
        <f>IF(LEFT(VLOOKUP($A92,Organization!$A$13:$E$67,5,0),21)='Auto Responses'!$A$32,'Auto Responses'!$A$33,VLOOKUP($A92,Organization!$A$13:$E$67,4,0))&amp;""</f>
        <v>Cursive maintains an implemented third-party management strategy per the Cursive Vendor Management Policy. Strategy components include:
— Documented vendor selection criteria emphasizing third-party attestations, security posture, regulatory alignment, and data handling commitments;
— Direct engagement with primary infrastructure providers (notably AWS) for tooling, security, and operational decisions, ensuring Cursive is positioned to leverage current best practices;
— Tiered vendor categorization: critical infrastructure subprocessors (AWS), data-adjacent subprocessors (offshore engineering teams with code/staging access), operational subprocessors (Google Workspace, GitHub, Linear, Bitwarden, KnowBe4, Checkr, The Hanover);
— Annual review of all subprocessors for continued alignment with Cursive's security and operational requirements per the Cursive Compliance Policy and Procedure Review Calendar;
— Proactive monitoring of supply chain tool updates and long-term support plans;
— Documented offboarding procedures for subprocessor termination including credential revocation, data return/deletion verification, and access audit;
— Inventory management with proactive monitoring of technology suite to ensure long lead times for any discontinued or deprecated products.</v>
      </c>
      <c r="E92" s="330" t="str">
        <f>VLOOKUP($A92,Organization!$A$13:$E$67,5,0)&amp;""</f>
        <v>Provide additional information that may help analysts better understand your environment and how it relates to third-party solutions.</v>
      </c>
      <c r="F92" s="195"/>
      <c r="G92" s="30" t="str">
        <f>VLOOKUP($A92,Questions!$A$2:$X$333,21,0)&amp;""</f>
        <v>Yes</v>
      </c>
      <c r="H92" s="185"/>
      <c r="I92" s="45" t="str">
        <f>VLOOKUP($A92,Questions!$A$2:$X$333,23,0)&amp;""</f>
        <v>Critical Importance</v>
      </c>
      <c r="J92" s="185"/>
      <c r="K92" s="48" t="b">
        <v>0</v>
      </c>
      <c r="L92" s="1"/>
    </row>
    <row r="93" spans="1:12" s="29" customFormat="1" ht="409.6" x14ac:dyDescent="0.25">
      <c r="A93" s="19" t="str">
        <f>Organization!$A$34</f>
        <v>THRD-05</v>
      </c>
      <c r="B93" s="20" t="str">
        <f>VLOOKUP($A93,Organization!$A$13:$E$67,2,0)&amp;""</f>
        <v>Do you have a process and implemented procedures for managing your hardware supply chain (e.g., telecommunications equipment, export licensing, computing devices)?</v>
      </c>
      <c r="C93" s="45" t="str">
        <f>VLOOKUP($A93,Organization!$A$13:$E$67,3,0)&amp;""</f>
        <v>No</v>
      </c>
      <c r="D93" s="34" t="str">
        <f>IF(LEFT(VLOOKUP($A93,Organization!$A$13:$E$67,5,0),21)='Auto Responses'!$A$32,'Auto Responses'!$A$33,VLOOKUP($A93,Organization!$A$13:$E$67,4,0))&amp;""</f>
        <v xml:space="preserve">Cursive is a SaaS solution and does not operate a hardware supply chain in the relevant sense (no telecommunications equipment manufacturing or distribution, no physical computing device sourcing for institutional use, no export-licensed hardware, no physical product fulfillment). Cursive staff and contractor workstations are commercial off-the-shelf devices procured through standard retail channels; AWS-managed infrastructure underlies all production hosting and operates under AWS's hardware supply chain controls (which Cursive inherits). Hardware supply chain risk for institutional engagements is therefore inherited from AWS rather than managed directly by Cursive.
</v>
      </c>
      <c r="E93" s="330" t="str">
        <f>VLOOKUP($A93,Organization!$A$13:$E$67,5,0)&amp;""</f>
        <v>State your plans to create a process and implemented procedures for managing your hardware supply chain.</v>
      </c>
      <c r="F93" s="195"/>
      <c r="G93" s="30" t="str">
        <f>VLOOKUP($A93,Questions!$A$2:$X$333,21,0)&amp;""</f>
        <v>Yes</v>
      </c>
      <c r="H93" s="185"/>
      <c r="I93" s="45" t="str">
        <f>VLOOKUP($A93,Questions!$A$2:$X$333,23,0)&amp;""</f>
        <v>Standard Importance</v>
      </c>
      <c r="J93" s="185"/>
      <c r="K93" s="48" t="b">
        <v>0</v>
      </c>
      <c r="L93" s="1"/>
    </row>
    <row r="94" spans="1:12" s="1" customFormat="1" ht="17.399999999999999" x14ac:dyDescent="0.25">
      <c r="A94" s="63" t="str">
        <f>VLOOKUP(LEFT($A95,4),'Auto Responses'!$N$4:$O$38,2,0)&amp;""</f>
        <v xml:space="preserve"> Change Management</v>
      </c>
      <c r="B94" s="22"/>
      <c r="C94" s="31"/>
      <c r="D94" s="31"/>
      <c r="E94" s="331"/>
      <c r="F94" s="131" t="s">
        <v>1030</v>
      </c>
      <c r="G94" s="335" t="s">
        <v>869</v>
      </c>
      <c r="H94" s="335" t="s">
        <v>871</v>
      </c>
      <c r="I94" s="335" t="s">
        <v>19</v>
      </c>
      <c r="J94" s="335" t="s">
        <v>856</v>
      </c>
      <c r="K94" s="335" t="s">
        <v>867</v>
      </c>
    </row>
    <row r="95" spans="1:12" s="29" customFormat="1" ht="409.6" x14ac:dyDescent="0.25">
      <c r="A95" s="19" t="str">
        <f>Organization!$A$36</f>
        <v>CHNG-01</v>
      </c>
      <c r="B95" s="20" t="str">
        <f>VLOOKUP($A95,Organization!$A$13:$E$67,2,0)&amp;""</f>
        <v>Will the institution be notified of major changes to your environment that could impact the institution's security posture?*</v>
      </c>
      <c r="C95" s="45" t="str">
        <f>VLOOKUP($A95,Organization!$A$13:$E$67,3,0)&amp;""</f>
        <v>Yes</v>
      </c>
      <c r="D95" s="34" t="str">
        <f>IF(LEFT(VLOOKUP($A95,Organization!$A$13:$E$67,5,0),21)='Auto Responses'!$A$32,'Auto Responses'!$A$33,VLOOKUP($A95,Organization!$A$13:$E$67,4,0))&amp;""</f>
        <v>Institutional customers are notified of major changes to Cursive's environment that could impact security posture per the Cursive Policies and Procedures (Security Assessment &amp; Authorization). Notification is triggered by the Security Impact Analysis step in the change management process: when a planned change is determined to have material security impact for institutional customers, affected institutions are notified in advance with sufficient lead time to evaluate the change. Communication is delivered through the institutional point of contact and through release notes published as part of the deployment process per the Cursive SDLC.</v>
      </c>
      <c r="E95" s="330" t="str">
        <f>VLOOKUP($A95,Organization!$A$13:$E$67,5,0)&amp;""</f>
        <v>State how and when the institution will be notified of major changes to your environment.</v>
      </c>
      <c r="F95" s="195"/>
      <c r="G95" s="30" t="str">
        <f>VLOOKUP($A95,Questions!$A$2:$X$333,21,0)&amp;""</f>
        <v>Yes</v>
      </c>
      <c r="H95" s="185"/>
      <c r="I95" s="45" t="str">
        <f>VLOOKUP($A95,Questions!$A$2:$X$333,23,0)&amp;""</f>
        <v>Critical Importance</v>
      </c>
      <c r="J95" s="185"/>
      <c r="K95" s="48" t="b">
        <v>0</v>
      </c>
      <c r="L95" s="1"/>
    </row>
    <row r="96" spans="1:12" s="29" customFormat="1" ht="409.6" x14ac:dyDescent="0.25">
      <c r="A96" s="19" t="str">
        <f>Organization!$A$37</f>
        <v>CHNG-02</v>
      </c>
      <c r="B96" s="20" t="str">
        <f>VLOOKUP($A96,Organization!$A$13:$E$67,2,0)&amp;""</f>
        <v>Does the system support client customizations from one release to another?*</v>
      </c>
      <c r="C96" s="45" t="str">
        <f>VLOOKUP($A96,Organization!$A$13:$E$67,3,0)&amp;""</f>
        <v>Yes</v>
      </c>
      <c r="D96" s="34" t="str">
        <f>IF(LEFT(VLOOKUP($A96,Organization!$A$13:$E$67,5,0),21)='Auto Responses'!$A$32,'Auto Responses'!$A$33,VLOOKUP($A96,Organization!$A$13:$E$67,4,0))&amp;""</f>
        <v>Client customizations are supported across releases. Cursive's API model is designed for backward compatibility — a single best-practice API serves all supported versions of the Cursive Moodle plugin and browser extension simultaneously, so institutional customizations and integrations remain functional across release cycles. Institution-specific configuration (LMS integration parameters, branding where applicable, contractual data handling settings) persists through plugin and extension updates without manual reconfiguration. Where client customizations require new API surface area, Cursive maintains backward compatibility for at least one full release cycle to support institutional migration.</v>
      </c>
      <c r="E96" s="330" t="str">
        <f>VLOOKUP($A96,Organization!$A$13:$E$67,5,0)&amp;""</f>
        <v>Describe or provide reference to your solution support strategy in regard to maintaining client customizations from one release to another.</v>
      </c>
      <c r="F96" s="195"/>
      <c r="G96" s="30" t="str">
        <f>VLOOKUP($A96,Questions!$A$2:$X$333,21,0)&amp;""</f>
        <v>Yes</v>
      </c>
      <c r="H96" s="185"/>
      <c r="I96" s="45" t="str">
        <f>VLOOKUP($A96,Questions!$A$2:$X$333,23,0)&amp;""</f>
        <v>Critical Importance</v>
      </c>
      <c r="J96" s="185"/>
      <c r="K96" s="48" t="b">
        <v>0</v>
      </c>
      <c r="L96" s="1"/>
    </row>
    <row r="97" spans="1:12" s="29" customFormat="1" ht="409.6" x14ac:dyDescent="0.25">
      <c r="A97" s="19" t="str">
        <f>Organization!$A$38</f>
        <v>CHNG-03</v>
      </c>
      <c r="B97" s="20" t="str">
        <f>VLOOKUP($A97,Organization!$A$13:$E$67,2,0)&amp;""</f>
        <v>Do you have an implemented system configuration management process (e.g., secure "gold" images, etc.)?*</v>
      </c>
      <c r="C97" s="45" t="str">
        <f>VLOOKUP($A97,Organization!$A$13:$E$67,3,0)&amp;""</f>
        <v>Yes</v>
      </c>
      <c r="D97" s="34" t="str">
        <f>IF(LEFT(VLOOKUP($A97,Organization!$A$13:$E$67,5,0),21)='Auto Responses'!$A$32,'Auto Responses'!$A$33,VLOOKUP($A97,Organization!$A$13:$E$67,4,0))&amp;""</f>
        <v>Cursive operates a system configuration management process per the Cursive Policies and Procedures. Configuration management leverages AWS-native tooling: AWS CloudFormation (and Terraform under the EKS rebuild) for Infrastructure as Code, providing reproducible "gold" infrastructure provisioning; AWS-provided pre-hardened components and AMIs (per DCTR-15); container images managed through standardized build pipelines with image scanning. AWS Config and AWS Systems Manager Parameter Store are being onboarded as part of the EKS rebuild to provide configuration drift detection and centralized configuration management. The Cursive Information System &amp; Baseline Configuration documentation captures the current configuration baseline.</v>
      </c>
      <c r="E97" s="330" t="str">
        <f>VLOOKUP($A97,Organization!$A$13:$E$67,5,0)&amp;""</f>
        <v>Summarize your implemented system configuration management process.</v>
      </c>
      <c r="F97" s="195"/>
      <c r="G97" s="30" t="str">
        <f>VLOOKUP($A97,Questions!$A$2:$X$333,21,0)&amp;""</f>
        <v>Yes</v>
      </c>
      <c r="H97" s="185"/>
      <c r="I97" s="45" t="str">
        <f>VLOOKUP($A97,Questions!$A$2:$X$333,23,0)&amp;""</f>
        <v>Critical Importance</v>
      </c>
      <c r="J97" s="185"/>
      <c r="K97" s="48" t="b">
        <v>0</v>
      </c>
      <c r="L97" s="1"/>
    </row>
    <row r="98" spans="1:12" s="29" customFormat="1" ht="324" x14ac:dyDescent="0.25">
      <c r="A98" s="19" t="str">
        <f>Organization!$A$39</f>
        <v>CHNG-04</v>
      </c>
      <c r="B98" s="20" t="str">
        <f>VLOOKUP($A98,Organization!$A$13:$E$67,2,0)&amp;""</f>
        <v>Do you have a documented change management process?</v>
      </c>
      <c r="C98" s="45" t="str">
        <f>VLOOKUP($A98,Organization!$A$13:$E$67,3,0)&amp;""</f>
        <v>Yes</v>
      </c>
      <c r="D98" s="34" t="str">
        <f>IF(LEFT(VLOOKUP($A98,Organization!$A$13:$E$67,5,0),21)='Auto Responses'!$A$32,'Auto Responses'!$A$33,VLOOKUP($A98,Organization!$A$13:$E$67,4,0))&amp;""</f>
        <v>Cursive maintains a documented change management process per the Cursive SDLC and Cursive Policies and Procedures. The process flows through Triage → Backlog → To Do → In Progress → QA → Release → Done states, with approval gates and review steps at each transition. All changes are tracked in Linear with associated GitHub pull requests, providing a complete audit trail from ticket creation through production deployment.</v>
      </c>
      <c r="E98" s="330" t="str">
        <f>VLOOKUP($A98,Organization!$A$13:$E$67,5,0)&amp;""</f>
        <v>Summarize your current change management process.</v>
      </c>
      <c r="F98" s="195"/>
      <c r="G98" s="30" t="str">
        <f>VLOOKUP($A98,Questions!$A$2:$X$333,21,0)&amp;""</f>
        <v>Yes</v>
      </c>
      <c r="H98" s="185"/>
      <c r="I98" s="45" t="str">
        <f>VLOOKUP($A98,Questions!$A$2:$X$333,23,0)&amp;""</f>
        <v>Standard Importance</v>
      </c>
      <c r="J98" s="185"/>
      <c r="K98" s="48" t="b">
        <v>0</v>
      </c>
      <c r="L98" s="1"/>
    </row>
    <row r="99" spans="1:12" s="29" customFormat="1" ht="409.6" x14ac:dyDescent="0.25">
      <c r="A99" s="19" t="str">
        <f>Organization!$A$40</f>
        <v>CHNG-05</v>
      </c>
      <c r="B99" s="20" t="str">
        <f>VLOOKUP($A99,Organization!$A$13:$E$67,2,0)&amp;""</f>
        <v>Does your change management process minimally include authorization, impact analysis, testing, and validation before moving changes to production?</v>
      </c>
      <c r="C99" s="45" t="str">
        <f>VLOOKUP($A99,Organization!$A$13:$E$67,3,0)&amp;""</f>
        <v>Yes</v>
      </c>
      <c r="D99" s="34" t="str">
        <f>IF(LEFT(VLOOKUP($A99,Organization!$A$13:$E$67,5,0),21)='Auto Responses'!$A$32,'Auto Responses'!$A$33,VLOOKUP($A99,Organization!$A$13:$E$67,4,0))&amp;""</f>
        <v>Cursive's change management process includes authorization (Founder/CEO approval for production-impacting changes), impact analysis (Security Impact Analysis evaluating each change for security and privacy implications per the Cursive Policies and Procedures), testing (developer-level unit testing, peer code review on pull requests, QA validation in staging environments), and validation before production deployment (final QA across all merged release-tagged tickets, smoke testing post-deployment). Failed deployments trigger rollback per documented procedures with re-validation before re-deployment.</v>
      </c>
      <c r="E99" s="330" t="str">
        <f>VLOOKUP($A99,Organization!$A$13:$E$67,5,0)&amp;""</f>
        <v>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v>
      </c>
      <c r="F99" s="195"/>
      <c r="G99" s="30" t="str">
        <f>VLOOKUP($A99,Questions!$A$2:$X$333,21,0)&amp;""</f>
        <v>Yes</v>
      </c>
      <c r="H99" s="185"/>
      <c r="I99" s="45" t="str">
        <f>VLOOKUP($A99,Questions!$A$2:$X$333,23,0)&amp;""</f>
        <v>Standard Importance</v>
      </c>
      <c r="J99" s="185"/>
      <c r="K99" s="48" t="b">
        <v>0</v>
      </c>
      <c r="L99" s="1"/>
    </row>
    <row r="100" spans="1:12" s="29" customFormat="1" ht="405" x14ac:dyDescent="0.25">
      <c r="A100" s="19" t="str">
        <f>Organization!$A$41</f>
        <v>CHNG-06</v>
      </c>
      <c r="B100" s="20" t="str">
        <f>VLOOKUP($A100,Organization!$A$13:$E$67,2,0)&amp;""</f>
        <v>Does your change management process verify that all required third-party libraries and dependencies are still supported with each major change?</v>
      </c>
      <c r="C100" s="45" t="str">
        <f>VLOOKUP($A100,Organization!$A$13:$E$67,3,0)&amp;""</f>
        <v>Yes</v>
      </c>
      <c r="D100" s="34" t="str">
        <f>IF(LEFT(VLOOKUP($A100,Organization!$A$13:$E$67,5,0),21)='Auto Responses'!$A$32,'Auto Responses'!$A$33,VLOOKUP($A100,Organization!$A$13:$E$67,4,0))&amp;""</f>
        <v>Third-party library and dependency support is verified through GitHub Dependabot, which monitors all production dependencies for end-of-life status, deprecation notices, and known vulnerabilities. Identified issues are tracked in the POAM and Linear ticket workflow with severity-based remediation timelines. Major release planning includes a dependency review step that validates each dependency's continued support, license compliance, and security posture before release.</v>
      </c>
      <c r="E100" s="330" t="str">
        <f>VLOOKUP($A100,Organization!$A$13:$E$67,5,0)&amp;""</f>
        <v>Please describe your program to track these dependencies.</v>
      </c>
      <c r="F100" s="195"/>
      <c r="G100" s="30" t="str">
        <f>VLOOKUP($A100,Questions!$A$2:$X$333,21,0)&amp;""</f>
        <v>Yes</v>
      </c>
      <c r="H100" s="185"/>
      <c r="I100" s="45" t="str">
        <f>VLOOKUP($A100,Questions!$A$2:$X$333,23,0)&amp;""</f>
        <v>Standard Importance</v>
      </c>
      <c r="J100" s="185"/>
      <c r="K100" s="48" t="b">
        <v>0</v>
      </c>
      <c r="L100" s="1"/>
    </row>
    <row r="101" spans="1:12" s="29" customFormat="1" ht="409.6" x14ac:dyDescent="0.25">
      <c r="A101" s="19" t="str">
        <f>Organization!$A$42</f>
        <v>CHNG-07</v>
      </c>
      <c r="B101" s="20" t="str">
        <f>VLOOKUP($A101,Organization!$A$13:$E$67,2,0)&amp;""</f>
        <v>Do you have policy and procedure, currently implemented, managing how critical patches are applied to all systems and applications?</v>
      </c>
      <c r="C101" s="45" t="str">
        <f>VLOOKUP($A101,Organization!$A$13:$E$67,3,0)&amp;""</f>
        <v>Yes</v>
      </c>
      <c r="D101" s="34" t="str">
        <f>IF(LEFT(VLOOKUP($A101,Organization!$A$13:$E$67,5,0),21)='Auto Responses'!$A$32,'Auto Responses'!$A$33,VLOOKUP($A101,Organization!$A$13:$E$67,4,0))&amp;""</f>
        <v>Critical patch management is governed by the Cursive Policies and Procedures. Severity-based remediation timelines: Critical risk within 7 days; High risk within 30 days; Medium risk within 60 days; Low risk within 90 days. AWS-managed services (EKS, RDS, S3) receive AWS-managed patches per AWS's published patching schedule, inheriting AWS's hardening cadence. Application-layer patches (dependency updates, security fixes to Cursive code) flow through the standard SDLC change management process with expedited review for critical-severity items. Patch deployment is logged through the standard change management audit trail.</v>
      </c>
      <c r="E101" s="330" t="str">
        <f>VLOOKUP($A101,Organization!$A$13:$E$67,5,0)&amp;""</f>
        <v>Summarize the policy and procedure(s) managing how critical patches are applied to systems and applications.</v>
      </c>
      <c r="F101" s="195"/>
      <c r="G101" s="30" t="str">
        <f>VLOOKUP($A101,Questions!$A$2:$X$333,21,0)&amp;""</f>
        <v>Yes</v>
      </c>
      <c r="H101" s="185"/>
      <c r="I101" s="45" t="str">
        <f>VLOOKUP($A101,Questions!$A$2:$X$333,23,0)&amp;""</f>
        <v>Standard Importance</v>
      </c>
      <c r="J101" s="185"/>
      <c r="K101" s="48" t="b">
        <v>0</v>
      </c>
      <c r="L101" s="1"/>
    </row>
    <row r="102" spans="1:12" s="29" customFormat="1" ht="409.6" x14ac:dyDescent="0.25">
      <c r="A102" s="19" t="str">
        <f>Organization!$A$43</f>
        <v>CHNG-08</v>
      </c>
      <c r="B102" s="20" t="str">
        <f>VLOOKUP($A102,Organization!$A$13:$E$67,2,0)&amp;""</f>
        <v>Have you implemented policies and procedures that guide how security risks are mitigated until patches can be applied?</v>
      </c>
      <c r="C102" s="45" t="str">
        <f>VLOOKUP($A102,Organization!$A$13:$E$67,3,0)&amp;""</f>
        <v>Yes</v>
      </c>
      <c r="D102" s="34" t="str">
        <f>IF(LEFT(VLOOKUP($A102,Organization!$A$13:$E$67,5,0),21)='Auto Responses'!$A$32,'Auto Responses'!$A$33,VLOOKUP($A102,Organization!$A$13:$E$67,4,0))&amp;""</f>
        <v>Compensating controls during patch windows are governed by the Plan of Action and Milestones (POAM) per the Cursive Policies and Procedures. When a security risk is identified but cannot be immediately remediated, interim mitigations are applied including: (1) AWS IAM access restriction to limit blast radius; (2) AWS Network Firewall rule updates to block known exploitation vectors where applicable; (3) feature-flag-based disablement of vulnerable functionality; (4) institutional customer notification where the risk affects institutional security posture; (5) configuration hardening to reduce attack surface. Risk acceptance for unresolved items beyond standard remediation timelines requires explicit Founder/CEO sign-off.</v>
      </c>
      <c r="E102" s="330" t="str">
        <f>VLOOKUP($A102,Organization!$A$13:$E$67,5,0)&amp;""</f>
        <v>Summarize the policy and procedure(s) guiding risk mitigation practices before critical patches can be applied.</v>
      </c>
      <c r="F102" s="195"/>
      <c r="G102" s="30" t="str">
        <f>VLOOKUP($A102,Questions!$A$2:$X$333,21,0)&amp;""</f>
        <v>Yes</v>
      </c>
      <c r="H102" s="185"/>
      <c r="I102" s="45" t="str">
        <f>VLOOKUP($A102,Questions!$A$2:$X$333,23,0)&amp;""</f>
        <v>Standard Importance</v>
      </c>
      <c r="J102" s="185"/>
      <c r="K102" s="48" t="b">
        <v>0</v>
      </c>
      <c r="L102" s="1"/>
    </row>
    <row r="103" spans="1:12" s="29" customFormat="1" ht="409.6" x14ac:dyDescent="0.25">
      <c r="A103" s="19" t="str">
        <f>Organization!$A$44</f>
        <v>CHNG-09</v>
      </c>
      <c r="B103" s="20" t="str">
        <f>VLOOKUP($A103,Organization!$A$13:$E$67,2,0)&amp;""</f>
        <v>Do clients have the option to not participate in or postpone an upgrade to a new release?</v>
      </c>
      <c r="C103" s="45" t="str">
        <f>VLOOKUP($A103,Organization!$A$13:$E$67,3,0)&amp;""</f>
        <v>Yes</v>
      </c>
      <c r="D103" s="34" t="str">
        <f>IF(LEFT(VLOOKUP($A103,Organization!$A$13:$E$67,5,0),21)='Auto Responses'!$A$32,'Auto Responses'!$A$33,VLOOKUP($A103,Organization!$A$13:$E$67,4,0))&amp;""</f>
        <v>Upgrade participation varies by deployment surface: (1) Moodle plugin upgrades are managed by the institution at the LMS layer — institutions control timing and version selection; (2) Browser extension upgrades follow the user's browser store update preference (auto-update by default, manually managed if the user disables auto-update at the browser level); (3) The Cursive API maintains backward compatibility across plugin and extension versions, providing a single best API compatible with all currently-supported plugin versions. This architecture means institutions are not forced into upgrade cycles on Cursive's timeline; institutional Moodle plugin upgrades happen on the institution's schedule.</v>
      </c>
      <c r="E103" s="330" t="str">
        <f>VLOOKUP($A103,Organization!$A$13:$E$67,5,0)&amp;""</f>
        <v>Provide reference the  process/procedure to manage releases.</v>
      </c>
      <c r="F103" s="195"/>
      <c r="G103" s="30" t="str">
        <f>VLOOKUP($A103,Questions!$A$2:$X$333,21,0)&amp;""</f>
        <v>Yes</v>
      </c>
      <c r="H103" s="185"/>
      <c r="I103" s="45" t="str">
        <f>VLOOKUP($A103,Questions!$A$2:$X$333,23,0)&amp;""</f>
        <v>Minor Importance</v>
      </c>
      <c r="J103" s="185"/>
      <c r="K103" s="48" t="b">
        <v>0</v>
      </c>
      <c r="L103" s="1"/>
    </row>
    <row r="104" spans="1:12" s="29" customFormat="1" ht="388.8" x14ac:dyDescent="0.25">
      <c r="A104" s="19" t="str">
        <f>Organization!$A$45</f>
        <v>CHNG-10</v>
      </c>
      <c r="B104" s="20" t="str">
        <f>VLOOKUP($A104,Organization!$A$13:$E$67,2,0)&amp;""</f>
        <v>Do you have a fully implemented solution support strategy that defines how many concurrent versions you support?</v>
      </c>
      <c r="C104" s="45" t="str">
        <f>VLOOKUP($A104,Organization!$A$13:$E$67,3,0)&amp;""</f>
        <v>Yes</v>
      </c>
      <c r="D104" s="34" t="str">
        <f>IF(LEFT(VLOOKUP($A104,Organization!$A$13:$E$67,5,0),21)='Auto Responses'!$A$32,'Auto Responses'!$A$33,VLOOKUP($A104,Organization!$A$13:$E$67,4,0))&amp;""</f>
        <v>For Moodle plugin: Cursive supports the latest released Moodle version plus long-term support (LTS) versions per the Moodle.org release support policy. For browser extension: latest released version plus the prior major version while institutions migrate. For Cursive API: a single best-practice API is maintained that is backward-compatible across all supported plugin and extension versions. Concurrent version support is documented in the product release notes and communicated to institutional customers.</v>
      </c>
      <c r="E104" s="330" t="str">
        <f>VLOOKUP($A104,Organization!$A$13:$E$67,5,0)&amp;""</f>
        <v>Describe or provide a reference to your solution support strategy in regard to maintaining software currency (i.e., how many concurrent versions are you willing to run and support?).</v>
      </c>
      <c r="F104" s="195"/>
      <c r="G104" s="30" t="str">
        <f>VLOOKUP($A104,Questions!$A$2:$X$333,21,0)&amp;""</f>
        <v>Yes</v>
      </c>
      <c r="H104" s="185"/>
      <c r="I104" s="45" t="str">
        <f>VLOOKUP($A104,Questions!$A$2:$X$333,23,0)&amp;""</f>
        <v>Minor Importance</v>
      </c>
      <c r="J104" s="185"/>
      <c r="K104" s="48" t="b">
        <v>0</v>
      </c>
      <c r="L104" s="1"/>
    </row>
    <row r="105" spans="1:12" s="29" customFormat="1" ht="409.6" x14ac:dyDescent="0.25">
      <c r="A105" s="19" t="str">
        <f>Organization!$A$46</f>
        <v>CHNG-11</v>
      </c>
      <c r="B105" s="20" t="str">
        <f>VLOOKUP($A105,Organization!$A$13:$E$67,2,0)&amp;""</f>
        <v>Do you have a release schedule for product updates?</v>
      </c>
      <c r="C105" s="45" t="str">
        <f>VLOOKUP($A105,Organization!$A$13:$E$67,3,0)&amp;""</f>
        <v>Yes</v>
      </c>
      <c r="D105" s="34" t="str">
        <f>IF(LEFT(VLOOKUP($A105,Organization!$A$13:$E$67,5,0),21)='Auto Responses'!$A$32,'Auto Responses'!$A$33,VLOOKUP($A105,Organization!$A$13:$E$67,4,0))&amp;""</f>
        <v>Cursive maintains a release schedule for product updates per the Cursive SDLC. Standard cadence: feature updates released quarterly or more frequently as scoped by ticket priority; critical security updates released as needed within the Critical/High severity remediation timelines; deployment via OpenLMS partnership operates on a semi-annual cadence with additional layers of code review including Moodle CIP code review. Release notes accompany each production release, documenting changes, security implications where applicable, and any institutional action required.</v>
      </c>
      <c r="E105" s="330" t="str">
        <f>VLOOKUP($A105,Organization!$A$13:$E$67,5,0)&amp;""</f>
        <v>Provide a reference to this solution's release schedule.</v>
      </c>
      <c r="F105" s="195"/>
      <c r="G105" s="30" t="str">
        <f>VLOOKUP($A105,Questions!$A$2:$X$333,21,0)&amp;""</f>
        <v>Yes</v>
      </c>
      <c r="H105" s="185"/>
      <c r="I105" s="45" t="str">
        <f>VLOOKUP($A105,Questions!$A$2:$X$333,23,0)&amp;""</f>
        <v>Minor Importance</v>
      </c>
      <c r="J105" s="185"/>
      <c r="K105" s="48" t="b">
        <v>0</v>
      </c>
      <c r="L105" s="1"/>
    </row>
    <row r="106" spans="1:12" s="29" customFormat="1" ht="409.6" x14ac:dyDescent="0.25">
      <c r="A106" s="19" t="str">
        <f>Organization!$A$47</f>
        <v>CHNG-12</v>
      </c>
      <c r="B106" s="20" t="str">
        <f>VLOOKUP($A106,Organization!$A$13:$E$67,2,0)&amp;""</f>
        <v>Do you have a technology roadmap, for at least the next two years, for enhancements and bug fixes for the solution being assessed?</v>
      </c>
      <c r="C106" s="45" t="str">
        <f>VLOOKUP($A106,Organization!$A$13:$E$67,3,0)&amp;""</f>
        <v>Yes</v>
      </c>
      <c r="D106" s="34" t="str">
        <f>IF(LEFT(VLOOKUP($A106,Organization!$A$13:$E$67,5,0),21)='Auto Responses'!$A$32,'Auto Responses'!$A$33,VLOOKUP($A106,Organization!$A$13:$E$67,4,0))&amp;""</f>
        <v>Cursive maintains an active technology roadmap covering at least the next two years of enhancements, bug fixes, and infrastructure work for TypeID. The roadmap is maintained in Linear and is updated continuously through regular product meetings, client feedback channels, and security/compliance work-driven priorities. Roadmap details are shareable with institutional customers under NDA on request, and major roadmap items affecting institutional security or operational posture are communicated through the institutional account channel.</v>
      </c>
      <c r="E106" s="330" t="str">
        <f>VLOOKUP($A106,Organization!$A$13:$E$67,5,0)&amp;""</f>
        <v>Provide a reference to your technology roadmap.</v>
      </c>
      <c r="F106" s="195"/>
      <c r="G106" s="30" t="str">
        <f>VLOOKUP($A106,Questions!$A$2:$X$333,21,0)&amp;""</f>
        <v>Yes</v>
      </c>
      <c r="H106" s="185"/>
      <c r="I106" s="45" t="str">
        <f>VLOOKUP($A106,Questions!$A$2:$X$333,23,0)&amp;""</f>
        <v>Minor Importance</v>
      </c>
      <c r="J106" s="185"/>
      <c r="K106" s="48" t="b">
        <v>0</v>
      </c>
      <c r="L106" s="1"/>
    </row>
    <row r="107" spans="1:12" s="29" customFormat="1" ht="409.6" x14ac:dyDescent="0.25">
      <c r="A107" s="19" t="str">
        <f>Organization!$A$48</f>
        <v>CHNG-13</v>
      </c>
      <c r="B107" s="20" t="str">
        <f>VLOOKUP($A107,Organization!$A$13:$E$67,2,0)&amp;""</f>
        <v>Can solution updates be completed without institutional involvement (i.e., technically or organizationally)?</v>
      </c>
      <c r="C107" s="45" t="str">
        <f>VLOOKUP($A107,Organization!$A$13:$E$67,3,0)&amp;""</f>
        <v>Yes</v>
      </c>
      <c r="D107" s="34" t="str">
        <f>IF(LEFT(VLOOKUP($A107,Organization!$A$13:$E$67,5,0),21)='Auto Responses'!$A$32,'Auto Responses'!$A$33,VLOOKUP($A107,Organization!$A$13:$E$67,4,0))&amp;""</f>
        <v>Solution update mechanisms vary by component to balance institutional control with timely security delivery: (1) Cursive API updates are deployed automatically by Cursive without institutional action required — backward compatibility ensures institutions remain functional across API updates; (2) Moodle plugin updates require manual installation by the institution's Moodle administrator, giving the institution full control over timing; (3) Browser extension updates follow the end user's browser auto-update preference, which is configurable. Critical security updates that require coordinated deployment are communicated to the institutional point of contact with sufficient lead time</v>
      </c>
      <c r="E107" s="330" t="str">
        <f>VLOOKUP($A107,Organization!$A$13:$E$67,5,0)&amp;""</f>
        <v/>
      </c>
      <c r="F107" s="195"/>
      <c r="G107" s="30" t="str">
        <f>VLOOKUP($A107,Questions!$A$2:$X$333,21,0)&amp;""</f>
        <v>Yes</v>
      </c>
      <c r="H107" s="185"/>
      <c r="I107" s="45" t="str">
        <f>VLOOKUP($A107,Questions!$A$2:$X$333,23,0)&amp;""</f>
        <v>Minor Importance</v>
      </c>
      <c r="J107" s="185"/>
      <c r="K107" s="48" t="b">
        <v>0</v>
      </c>
      <c r="L107" s="1"/>
    </row>
    <row r="108" spans="1:12" s="29" customFormat="1" ht="409.6" x14ac:dyDescent="0.25">
      <c r="A108" s="19" t="str">
        <f>Organization!$A$49</f>
        <v>CHNG-14</v>
      </c>
      <c r="B108" s="20" t="str">
        <f>VLOOKUP($A108,Organization!$A$13:$E$67,2,0)&amp;""</f>
        <v>Are upgrades or system changes installed during off-peak hours or in a manner that does not impact the customer?</v>
      </c>
      <c r="C108" s="45" t="str">
        <f>VLOOKUP($A108,Organization!$A$13:$E$67,3,0)&amp;""</f>
        <v>Yes</v>
      </c>
      <c r="D108" s="34" t="str">
        <f>IF(LEFT(VLOOKUP($A108,Organization!$A$13:$E$67,5,0),21)='Auto Responses'!$A$32,'Auto Responses'!$A$33,VLOOKUP($A108,Organization!$A$13:$E$67,4,0))&amp;""</f>
        <v xml:space="preserve">Production deployments are scheduled to minimize impact on institutional users. Standard practice: deployments are coordinated for off-peak hours relative to the predominant time zones of active institutional customers; major changes are scheduled with advance institutional notification; rolling deployments through AWS-managed services (EKS, RDS) provide zero-downtime or minimal-downtime upgrades for most release types. Deployment windows are communicated to institutional customers in advance for any change that could impact availability.
</v>
      </c>
      <c r="E108" s="330" t="str">
        <f>VLOOKUP($A108,Organization!$A$13:$E$67,5,0)&amp;""</f>
        <v>Define current off-peak hours, including time zones as necessary.</v>
      </c>
      <c r="F108" s="195"/>
      <c r="G108" s="30" t="str">
        <f>VLOOKUP($A108,Questions!$A$2:$X$333,21,0)&amp;""</f>
        <v>Yes</v>
      </c>
      <c r="H108" s="185"/>
      <c r="I108" s="45" t="str">
        <f>VLOOKUP($A108,Questions!$A$2:$X$333,23,0)&amp;""</f>
        <v>Minor Importance</v>
      </c>
      <c r="J108" s="185"/>
      <c r="K108" s="48" t="b">
        <v>0</v>
      </c>
      <c r="L108" s="1"/>
    </row>
    <row r="109" spans="1:12" s="29" customFormat="1" ht="409.6" x14ac:dyDescent="0.25">
      <c r="A109" s="19" t="str">
        <f>Organization!$A$50</f>
        <v>CHNG-15</v>
      </c>
      <c r="B109" s="20" t="str">
        <f>VLOOKUP($A109,Organization!$A$13:$E$67,2,0)&amp;""</f>
        <v>Do procedures exist to provide that emergency changes are documented and authorized (including after-the-fact approval)?</v>
      </c>
      <c r="C109" s="45" t="str">
        <f>VLOOKUP($A109,Organization!$A$13:$E$67,3,0)&amp;""</f>
        <v>Yes</v>
      </c>
      <c r="D109" s="34" t="str">
        <f>IF(LEFT(VLOOKUP($A109,Organization!$A$13:$E$67,5,0),21)='Auto Responses'!$A$32,'Auto Responses'!$A$33,VLOOKUP($A109,Organization!$A$13:$E$67,4,0))&amp;""</f>
        <v>Emergency change procedures are documented in the Cursive Policies and Procedures (Configuration Management and Incident Response sections). Emergency changes (those required to address active security incidents, critical defects, or service-impacting issues outside the normal release schedule) are authorized by the Founder/CEO with after-the-fact documentation including: (1) ticket creation in Linear documenting the change rationale, scope, and timeline; (2) GitHub pull request with code review (compressed but not skipped) and audit trail; (3) deployment logs through standard CI/CD instrumentation; (4) post-incident review to validate that the emergency change addressed the underlying issue and to identify any process improvements. Authorization may be retroactive when the situation requires immediate action, but documentation is required in all cases.</v>
      </c>
      <c r="E109" s="330" t="str">
        <f>VLOOKUP($A109,Organization!$A$13:$E$67,5,0)&amp;""</f>
        <v>Summarize implemented procedures ensuring that emergency changes are documented and authorized.</v>
      </c>
      <c r="F109" s="195"/>
      <c r="G109" s="30" t="str">
        <f>VLOOKUP($A109,Questions!$A$2:$X$333,21,0)&amp;""</f>
        <v>Yes</v>
      </c>
      <c r="H109" s="185"/>
      <c r="I109" s="45" t="str">
        <f>VLOOKUP($A109,Questions!$A$2:$X$333,23,0)&amp;""</f>
        <v>Minor Importance</v>
      </c>
      <c r="J109" s="185"/>
      <c r="K109" s="48" t="b">
        <v>0</v>
      </c>
      <c r="L109" s="1"/>
    </row>
    <row r="110" spans="1:12" s="29" customFormat="1" ht="409.6" x14ac:dyDescent="0.25">
      <c r="A110" s="19" t="str">
        <f>Organization!$A$51</f>
        <v>CHNG-16</v>
      </c>
      <c r="B110" s="20" t="str">
        <f>VLOOKUP($A110,Organization!$A$13:$E$67,2,0)&amp;""</f>
        <v>Do you have a systems management and configuration strategy that encompasses servers, appliances, cloud services, applications, and mobile devices (company and employee owned)?</v>
      </c>
      <c r="C110" s="45" t="str">
        <f>VLOOKUP($A110,Organization!$A$13:$E$67,3,0)&amp;""</f>
        <v>Yes</v>
      </c>
      <c r="D110" s="34" t="str">
        <f>IF(LEFT(VLOOKUP($A110,Organization!$A$13:$E$67,5,0),21)='Auto Responses'!$A$32,'Auto Responses'!$A$33,VLOOKUP($A110,Organization!$A$13:$E$67,4,0))&amp;""</f>
        <v>Cursive's systems management and configuration strategy covers all relevant asset categories per the Cursive Policies and Procedures:
Servers and cloud infrastructure: AWS-managed services (EKS, RDS, S3, Lambda, etc.) configured through Infrastructure as Code (CloudFormation, Terraform under the EKS rebuild), with AWS Config and Systems Manager Parameter Store onboarding as part of the EKS rebuild for centralized configuration management;
Applications: Cursive code repositories under GitHub Organization controls with branch protection, pull request review, and dependency monitoring;
Network appliances: AWS Network Firewall, AWS Security Groups, VPC configuration managed through Infrastructure as Code;
Cloud services: AWS service configuration managed centrally, with subprocessor SaaS tools (Google Workspace, Linear, GitHub, Bitwarden) configured through SSO + MFA-enforced administrative interfaces;
Employee workstations: endpoint protection strategy (Defender, Bitwarden, MFA, KnowBe4 training);
Mobile devices: Cursive does not currently issue or manage mobile devices for institutional service delivery; staff mobile devices used for productivity tools (Slack, Linear, Google Workspace mobile) are subject to MFA enforcement at the SSO layer.</v>
      </c>
      <c r="E110" s="330" t="str">
        <f>VLOOKUP($A110,Organization!$A$13:$E$67,5,0)&amp;""</f>
        <v>Summarize your systems management and configuration strategy.</v>
      </c>
      <c r="F110" s="195"/>
      <c r="G110" s="30" t="str">
        <f>VLOOKUP($A110,Questions!$A$2:$X$333,21,0)&amp;""</f>
        <v>Yes</v>
      </c>
      <c r="H110" s="185"/>
      <c r="I110" s="45" t="str">
        <f>VLOOKUP($A110,Questions!$A$2:$X$333,23,0)&amp;""</f>
        <v>Minor Importance</v>
      </c>
      <c r="J110" s="185"/>
      <c r="K110" s="48" t="b">
        <v>0</v>
      </c>
      <c r="L110" s="1"/>
    </row>
    <row r="111" spans="1:12" s="1" customFormat="1" ht="17.399999999999999" x14ac:dyDescent="0.25">
      <c r="A111" s="63" t="str">
        <f>VLOOKUP(LEFT($A112,4),'Auto Responses'!$N$4:$O$38,2,0)&amp;""</f>
        <v xml:space="preserve"> Policies, Processes, and Procedures</v>
      </c>
      <c r="B111" s="22"/>
      <c r="C111" s="31"/>
      <c r="D111" s="31"/>
      <c r="E111" s="331"/>
      <c r="F111" s="131" t="s">
        <v>1030</v>
      </c>
      <c r="G111" s="335" t="s">
        <v>869</v>
      </c>
      <c r="H111" s="335" t="s">
        <v>871</v>
      </c>
      <c r="I111" s="335" t="s">
        <v>19</v>
      </c>
      <c r="J111" s="335" t="s">
        <v>856</v>
      </c>
      <c r="K111" s="335" t="s">
        <v>867</v>
      </c>
    </row>
    <row r="112" spans="1:12" s="29" customFormat="1" ht="409.6" x14ac:dyDescent="0.25">
      <c r="A112" s="19" t="str">
        <f>Organization!$A$53</f>
        <v>PPPR-01</v>
      </c>
      <c r="B112" s="20" t="str">
        <f>VLOOKUP($A112,Organization!$A$13:$E$67,2,0)&amp;""</f>
        <v>Do you have a documented patch management process?*</v>
      </c>
      <c r="C112" s="45" t="str">
        <f>VLOOKUP($A112,Organization!$A$13:$E$67,3,0)&amp;""</f>
        <v>Yes</v>
      </c>
      <c r="D112" s="34" t="str">
        <f>IF(LEFT(VLOOKUP($A112,Organization!$A$13:$E$67,5,0),21)='Auto Responses'!$A$32,'Auto Responses'!$A$33,VLOOKUP($A112,Organization!$A$13:$E$67,4,0))&amp;""</f>
        <v>Cursive maintains a documented patch management process per the Cursive Policies and Procedures. Severity-based remediation timelines (Critical: 7 days; High: 30 days; Medium: 60 days; Low: 90 days) govern patch prioritization. AWS-managed services (EKS, RDS, S3) inherit AWS's patching cadence; application-layer patches and dependency updates flow through the standard SDLC change management process with Dependabot-driven dependency monitoring. All patch deployments are tracked in Linear with associated GitHub pull requests for audit trail.</v>
      </c>
      <c r="E112" s="330" t="str">
        <f>VLOOKUP($A112,Organization!$A$13:$E$67,5,0)&amp;""</f>
        <v/>
      </c>
      <c r="F112" s="195"/>
      <c r="G112" s="30" t="str">
        <f>VLOOKUP($A112,Questions!$A$2:$X$333,21,0)&amp;""</f>
        <v>Yes</v>
      </c>
      <c r="H112" s="185"/>
      <c r="I112" s="45" t="str">
        <f>VLOOKUP($A112,Questions!$A$2:$X$333,23,0)&amp;""</f>
        <v>Critical Importance</v>
      </c>
      <c r="J112" s="185"/>
      <c r="K112" s="48" t="b">
        <v>0</v>
      </c>
      <c r="L112" s="1"/>
    </row>
    <row r="113" spans="1:12" s="29" customFormat="1" ht="409.6" x14ac:dyDescent="0.25">
      <c r="A113" s="19" t="str">
        <f>Organization!$A$54</f>
        <v>PPPR-02</v>
      </c>
      <c r="B113" s="20" t="str">
        <f>VLOOKUP($A113,Organization!$A$13:$E$67,2,0)&amp;""</f>
        <v>Can your organization comply with institutional policies on privacy and data protection with regard to users of institutional systems, if required?*</v>
      </c>
      <c r="C113" s="45" t="str">
        <f>VLOOKUP($A113,Organization!$A$13:$E$67,3,0)&amp;""</f>
        <v>Yes</v>
      </c>
      <c r="D113" s="34" t="str">
        <f>IF(LEFT(VLOOKUP($A113,Organization!$A$13:$E$67,5,0),21)='Auto Responses'!$A$32,'Auto Responses'!$A$33,VLOOKUP($A113,Organization!$A$13:$E$67,4,0))&amp;""</f>
        <v>Cursive will comply with institutional policies on privacy and data protection as agreed in the master services agreement and any applicable Data Processing Agreement. Institution-specific privacy and data protection requirements can be incorporated through contract addenda. Cursive's data minimization architecture (no name, email, or grade data collected; opaque LMS-issued UUIDs only; default de-identification) materially supports alignment with most institutional privacy policies without requiring custom configuration.</v>
      </c>
      <c r="E113" s="330" t="str">
        <f>VLOOKUP($A113,Organization!$A$13:$E$67,5,0)&amp;""</f>
        <v>State that you have reviewed the institution's IT policies with regards to user privacy and data protection.</v>
      </c>
      <c r="F113" s="195"/>
      <c r="G113" s="30" t="str">
        <f>VLOOKUP($A113,Questions!$A$2:$X$333,21,0)&amp;""</f>
        <v>Yes</v>
      </c>
      <c r="H113" s="185"/>
      <c r="I113" s="45" t="str">
        <f>VLOOKUP($A113,Questions!$A$2:$X$333,23,0)&amp;""</f>
        <v>Critical Importance</v>
      </c>
      <c r="J113" s="185"/>
      <c r="K113" s="48" t="b">
        <v>0</v>
      </c>
      <c r="L113" s="1"/>
    </row>
    <row r="114" spans="1:12" s="29" customFormat="1" ht="409.6" x14ac:dyDescent="0.25">
      <c r="A114" s="19" t="str">
        <f>Organization!$A$55</f>
        <v>PPPR-03</v>
      </c>
      <c r="B114" s="20" t="str">
        <f>VLOOKUP($A114,Organization!$A$13:$E$67,2,0)&amp;""</f>
        <v>Is your company subject to the institution's geographic region's laws and regulations?*</v>
      </c>
      <c r="C114" s="45" t="str">
        <f>VLOOKUP($A114,Organization!$A$13:$E$67,3,0)&amp;""</f>
        <v>Yes</v>
      </c>
      <c r="D114" s="34" t="str">
        <f>IF(LEFT(VLOOKUP($A114,Organization!$A$13:$E$67,5,0),21)='Auto Responses'!$A$32,'Auto Responses'!$A$33,VLOOKUP($A114,Organization!$A$13:$E$67,4,0))&amp;""</f>
        <v>Cursive is incorporated in Maryland, USA, and is subject to applicable US federal and state law including FERPA (when contracted as a school official), state privacy laws (Maryland PIPA, California CCPA/CPRA where applicable, and other state laws based on institutional location), state breach notification statutes, and applicable federal cybersecurity guidance. For institutional customers in other jurisdictions, Cursive will additionally comply with applicable local laws and regulations through contractual commitment, including PIPL for the existing Shanghai International Studies University engagement and GDPR for any future EU/UK engagements.</v>
      </c>
      <c r="E114" s="330" t="str">
        <f>VLOOKUP($A114,Organization!$A$13:$E$67,5,0)&amp;""</f>
        <v>State the country that governs and regulates your company.</v>
      </c>
      <c r="F114" s="195"/>
      <c r="G114" s="30" t="str">
        <f>VLOOKUP($A114,Questions!$A$2:$X$333,21,0)&amp;""</f>
        <v>Yes</v>
      </c>
      <c r="H114" s="185"/>
      <c r="I114" s="45" t="str">
        <f>VLOOKUP($A114,Questions!$A$2:$X$333,23,0)&amp;""</f>
        <v>Critical Importance</v>
      </c>
      <c r="J114" s="185"/>
      <c r="K114" s="48" t="b">
        <v>0</v>
      </c>
      <c r="L114" s="1"/>
    </row>
    <row r="115" spans="1:12" s="29" customFormat="1" ht="409.6" x14ac:dyDescent="0.25">
      <c r="A115" s="19" t="str">
        <f>Organization!$A$56</f>
        <v>PPPR-04</v>
      </c>
      <c r="B115" s="20" t="str">
        <f>VLOOKUP($A115,Organization!$A$13:$E$67,2,0)&amp;""</f>
        <v>Can you accommodate encryption requirements using open standards?</v>
      </c>
      <c r="C115" s="45" t="str">
        <f>VLOOKUP($A115,Organization!$A$13:$E$67,3,0)&amp;""</f>
        <v>Yes</v>
      </c>
      <c r="D115" s="34" t="str">
        <f>IF(LEFT(VLOOKUP($A115,Organization!$A$13:$E$67,5,0),21)='Auto Responses'!$A$32,'Auto Responses'!$A$33,VLOOKUP($A115,Organization!$A$13:$E$67,4,0))&amp;""</f>
        <v>Cursive uses open-standard encryption throughout: TLS 1.2+ for data in transit (with industry-standard cipher suites managed through AWS); AES-256 for data at rest (CNSA-approved); RSA and ECDSA for asymmetric cryptography where applicable; HMAC-SHA256 for token integrity (per the QR proof-of-authorship system and API authentication). Encryption is managed through AWS Key Management Service (KMS) using FIPS 140-2 Level 3 validated HSMs. Institutional contracts specifying particular open-standard encryption requirements (specific cipher suites, key sizes, etc.) can be accommodated through configuration.</v>
      </c>
      <c r="E115" s="330" t="str">
        <f>VLOOKUP($A115,Organization!$A$13:$E$67,5,0)&amp;""</f>
        <v/>
      </c>
      <c r="F115" s="195"/>
      <c r="G115" s="30" t="str">
        <f>VLOOKUP($A115,Questions!$A$2:$X$333,21,0)&amp;""</f>
        <v>Yes</v>
      </c>
      <c r="H115" s="185"/>
      <c r="I115" s="45" t="str">
        <f>VLOOKUP($A115,Questions!$A$2:$X$333,23,0)&amp;""</f>
        <v>Standard Importance</v>
      </c>
      <c r="J115" s="185"/>
      <c r="K115" s="48" t="b">
        <v>0</v>
      </c>
      <c r="L115" s="1"/>
    </row>
    <row r="116" spans="1:12" s="29" customFormat="1" ht="409.6" x14ac:dyDescent="0.25">
      <c r="A116" s="19" t="str">
        <f>Organization!$A$57</f>
        <v>PPPR-05</v>
      </c>
      <c r="B116" s="20" t="str">
        <f>VLOOKUP($A116,Organization!$A$13:$E$67,2,0)&amp;""</f>
        <v>Do you have a documented systems development life cycle (SDLC)?</v>
      </c>
      <c r="C116" s="45" t="str">
        <f>VLOOKUP($A116,Organization!$A$13:$E$67,3,0)&amp;""</f>
        <v>Yes</v>
      </c>
      <c r="D116" s="34" t="str">
        <f>IF(LEFT(VLOOKUP($A116,Organization!$A$13:$E$67,5,0),21)='Auto Responses'!$A$32,'Auto Responses'!$A$33,VLOOKUP($A116,Organization!$A$13:$E$67,4,0))&amp;""</f>
        <v>Cursive maintains a documented Software Development Lifecycle per the Cursive SDLC documentation. The SDLC defines: ticket lifecycle states (Triage → Backlog → To Do → In Progress → QA → Release → Done); approval gates and review steps at each transition; security and privacy review through Security Impact Analysis; testing and QA validation requirements; release management procedures. All work is tracked in Linear with associated GitHub pull requests. The SDLC is reviewed annually per the Cursive Compliance Policy and Procedure Review Calendar.</v>
      </c>
      <c r="E116" s="330" t="str">
        <f>VLOOKUP($A116,Organization!$A$13:$E$67,5,0)&amp;""</f>
        <v>Briefly summarize your SDLC or provide a link or attachment.</v>
      </c>
      <c r="F116" s="195"/>
      <c r="G116" s="30" t="str">
        <f>VLOOKUP($A116,Questions!$A$2:$X$333,21,0)&amp;""</f>
        <v>Yes</v>
      </c>
      <c r="H116" s="185"/>
      <c r="I116" s="45" t="str">
        <f>VLOOKUP($A116,Questions!$A$2:$X$333,23,0)&amp;""</f>
        <v>Standard Importance</v>
      </c>
      <c r="J116" s="185"/>
      <c r="K116" s="48" t="b">
        <v>0</v>
      </c>
      <c r="L116" s="1"/>
    </row>
    <row r="117" spans="1:12" s="29" customFormat="1" ht="409.6" x14ac:dyDescent="0.25">
      <c r="A117" s="19" t="str">
        <f>Organization!$A$58</f>
        <v>PPPR-06</v>
      </c>
      <c r="B117" s="20" t="str">
        <f>VLOOKUP($A117,Organization!$A$13:$E$67,2,0)&amp;""</f>
        <v>Do you perform background screenings or multi-state background checks on all employees prior to their first day of work?</v>
      </c>
      <c r="C117" s="45" t="str">
        <f>VLOOKUP($A117,Organization!$A$13:$E$67,3,0)&amp;""</f>
        <v>Yes</v>
      </c>
      <c r="D117" s="34" t="str">
        <f>IF(LEFT(VLOOKUP($A117,Organization!$A$13:$E$67,5,0),21)='Auto Responses'!$A$32,'Auto Responses'!$A$33,VLOOKUP($A117,Organization!$A$13:$E$67,4,0))&amp;""</f>
        <v>Cursive performs background checks on all employees and on subprocessors with any access to Cursive infrastructure or institutional data flows. Background checks are conducted through Checkr (a SOC 2-compliant background check provider) or equivalent local services for international subprocessors. Checks include identity verification, criminal history (multi-state where applicable), and employment verification appropriate to the role. Background check completion is required before access provisioning to Cursive systems, AWS resources, or any infrastructure that could touch institutional data.</v>
      </c>
      <c r="E117" s="330" t="str">
        <f>VLOOKUP($A117,Organization!$A$13:$E$67,5,0)&amp;""</f>
        <v>Summarize your background check practices.</v>
      </c>
      <c r="F117" s="195"/>
      <c r="G117" s="30" t="str">
        <f>VLOOKUP($A117,Questions!$A$2:$X$333,21,0)&amp;""</f>
        <v>Yes</v>
      </c>
      <c r="H117" s="185"/>
      <c r="I117" s="45" t="str">
        <f>VLOOKUP($A117,Questions!$A$2:$X$333,23,0)&amp;""</f>
        <v>Standard Importance</v>
      </c>
      <c r="J117" s="185"/>
      <c r="K117" s="48" t="b">
        <v>0</v>
      </c>
      <c r="L117" s="1"/>
    </row>
    <row r="118" spans="1:12" s="29" customFormat="1" ht="409.6" x14ac:dyDescent="0.25">
      <c r="A118" s="19" t="str">
        <f>Organization!$A$59</f>
        <v>PPPR-07</v>
      </c>
      <c r="B118" s="20" t="str">
        <f>VLOOKUP($A118,Organization!$A$13:$E$67,2,0)&amp;""</f>
        <v>Do you require new employees to fill out agreements and review policies?</v>
      </c>
      <c r="C118" s="45" t="str">
        <f>VLOOKUP($A118,Organization!$A$13:$E$67,3,0)&amp;""</f>
        <v>Yes</v>
      </c>
      <c r="D118" s="34" t="str">
        <f>IF(LEFT(VLOOKUP($A118,Organization!$A$13:$E$67,5,0),21)='Auto Responses'!$A$32,'Auto Responses'!$A$33,VLOOKUP($A118,Organization!$A$13:$E$67,4,0))&amp;""</f>
        <v>New employees and subprocessors complete required agreements and policy reviews during onboarding per the Cursive Policies and Procedures. Onboarding documentation includes: Non-Disclosure Agreement; Information Security Policy acknowledgment; Privacy Policy acknowledgment; Acceptable Use Policy acknowledgment; FERPA 201 training completion (US Department of Education); KnowBe4 security awareness training enrollment. Acknowledgments are documented and retained per the Cursive Compliance Policy and Procedure Review Calendar. Annual policy re-acknowledgment is required.</v>
      </c>
      <c r="E118" s="330" t="str">
        <f>VLOOKUP($A118,Organization!$A$13:$E$67,5,0)&amp;""</f>
        <v>Summarize the required agreements and reviewed policies.</v>
      </c>
      <c r="F118" s="195"/>
      <c r="G118" s="30" t="str">
        <f>VLOOKUP($A118,Questions!$A$2:$X$333,21,0)&amp;""</f>
        <v>Yes</v>
      </c>
      <c r="H118" s="185"/>
      <c r="I118" s="45" t="str">
        <f>VLOOKUP($A118,Questions!$A$2:$X$333,23,0)&amp;""</f>
        <v>Standard Importance</v>
      </c>
      <c r="J118" s="185"/>
      <c r="K118" s="48" t="b">
        <v>0</v>
      </c>
      <c r="L118" s="1"/>
    </row>
    <row r="119" spans="1:12" s="29" customFormat="1" ht="409.6" x14ac:dyDescent="0.25">
      <c r="A119" s="19" t="str">
        <f>Organization!$A$60</f>
        <v>PPPR-08</v>
      </c>
      <c r="B119" s="20" t="str">
        <f>VLOOKUP($A119,Organization!$A$13:$E$67,2,0)&amp;""</f>
        <v>Do you have a documented information security policy?</v>
      </c>
      <c r="C119" s="45" t="str">
        <f>VLOOKUP($A119,Organization!$A$13:$E$67,3,0)&amp;""</f>
        <v>Yes</v>
      </c>
      <c r="D119" s="34" t="str">
        <f>IF(LEFT(VLOOKUP($A119,Organization!$A$13:$E$67,5,0),21)='Auto Responses'!$A$32,'Auto Responses'!$A$33,VLOOKUP($A119,Organization!$A$13:$E$67,4,0))&amp;""</f>
        <v>Cursive maintains a documented Information Security Policy as part of the Cursive Policies and Procedures. The policy covers access control, audit and accountability, awareness and training, configuration management, contingency planning, identification and authentication, incident response, maintenance, media protection, physical and environmental protection (inherited from AWS), planning, personnel security, risk assessment, security assessment and authorization, system and communications protection, and system and information integrity — broadly aligned with NIST 800-53 control family structure. The policy is reviewed annually per the Cursive Compliance Policy and Procedure Review Calendar and is shareable with institutional customers under NDA on request.</v>
      </c>
      <c r="E119" s="330" t="str">
        <f>VLOOKUP($A119,Organization!$A$13:$E$67,5,0)&amp;""</f>
        <v>Provide a reference to your information security policy or submit documentation with this fully populated HECVAT.</v>
      </c>
      <c r="F119" s="195"/>
      <c r="G119" s="30" t="str">
        <f>VLOOKUP($A119,Questions!$A$2:$X$333,21,0)&amp;""</f>
        <v>Yes</v>
      </c>
      <c r="H119" s="185"/>
      <c r="I119" s="45" t="str">
        <f>VLOOKUP($A119,Questions!$A$2:$X$333,23,0)&amp;""</f>
        <v>Standard Importance</v>
      </c>
      <c r="J119" s="185"/>
      <c r="K119" s="48" t="b">
        <v>0</v>
      </c>
      <c r="L119" s="1"/>
    </row>
    <row r="120" spans="1:12" s="29" customFormat="1" ht="409.6" x14ac:dyDescent="0.25">
      <c r="A120" s="19" t="str">
        <f>Organization!$A$61</f>
        <v>PPPR-09</v>
      </c>
      <c r="B120" s="20" t="str">
        <f>VLOOKUP($A120,Organization!$A$13:$E$67,2,0)&amp;""</f>
        <v>Are information security principles designed into the product lifecycle?</v>
      </c>
      <c r="C120" s="45" t="str">
        <f>VLOOKUP($A120,Organization!$A$13:$E$67,3,0)&amp;""</f>
        <v>Yes</v>
      </c>
      <c r="D120" s="34" t="str">
        <f>IF(LEFT(VLOOKUP($A120,Organization!$A$13:$E$67,5,0),21)='Auto Responses'!$A$32,'Auto Responses'!$A$33,VLOOKUP($A120,Organization!$A$13:$E$67,4,0))&amp;""</f>
        <v>Information security principles are designed into the product lifecycle through the Cursive SDLC. Security-by-design practices include: Security Impact Analysis as a standard step in change management; threat modeling for new features that touch institutional data flows; secure coding practices including input validation, schema enforcement, and authenticated APIs; data minimization architecture; default-deny privacy posture (no institutional data used in AI training without explicit contractual agreement); least-privilege access controls (AWS IAM) applied to all production systems. Targeting SOC 2 Type 2 attestation following AWS security certification work currently underway.</v>
      </c>
      <c r="E120" s="330" t="str">
        <f>VLOOKUP($A120,Organization!$A$13:$E$67,5,0)&amp;""</f>
        <v>Summarize the information security principles designed into the product lifecycle.</v>
      </c>
      <c r="F120" s="195"/>
      <c r="G120" s="30" t="str">
        <f>VLOOKUP($A120,Questions!$A$2:$X$333,21,0)&amp;""</f>
        <v>Yes</v>
      </c>
      <c r="H120" s="185"/>
      <c r="I120" s="45" t="str">
        <f>VLOOKUP($A120,Questions!$A$2:$X$333,23,0)&amp;""</f>
        <v>Minor Importance</v>
      </c>
      <c r="J120" s="185"/>
      <c r="K120" s="48" t="b">
        <v>0</v>
      </c>
      <c r="L120" s="1"/>
    </row>
    <row r="121" spans="1:12" s="29" customFormat="1" ht="409.6" x14ac:dyDescent="0.25">
      <c r="A121" s="19" t="str">
        <f>Organization!$A$62</f>
        <v>PPPR-10</v>
      </c>
      <c r="B121" s="20" t="str">
        <f>VLOOKUP($A121,Organization!$A$13:$E$67,2,0)&amp;""</f>
        <v>Will you comply with applicable breach notification laws?</v>
      </c>
      <c r="C121" s="45" t="str">
        <f>VLOOKUP($A121,Organization!$A$13:$E$67,3,0)&amp;""</f>
        <v>Yes</v>
      </c>
      <c r="D121" s="34" t="str">
        <f>IF(LEFT(VLOOKUP($A121,Organization!$A$13:$E$67,5,0),21)='Auto Responses'!$A$32,'Auto Responses'!$A$33,VLOOKUP($A121,Organization!$A$13:$E$67,4,0))&amp;""</f>
        <v>Cursive will comply with applicable breach notification laws, including state breach notification statutes (Maryland PIPA, California CCPA, and other state laws based on the institutional location), FERPA breach notification expectations for institutional customers acting as school officials, GDPR Article 33/34 obligations for any future EU/UK engagements, and PIPL breach notification requirements for the existing SISU engagement and any future PRC engagements. Cursive's Incident Response Plan in the Cursive Policies and Procedures specifies notification within 24 hours of confirmed breach to affected institutional customers, with downstream end-user notification coordinated with the institution.</v>
      </c>
      <c r="E121" s="330" t="str">
        <f>VLOOKUP($A121,Organization!$A$13:$E$67,5,0)&amp;""</f>
        <v>State how quickly the institution will be notified of a data breach or security incident.</v>
      </c>
      <c r="F121" s="195"/>
      <c r="G121" s="30" t="str">
        <f>VLOOKUP($A121,Questions!$A$2:$X$333,21,0)&amp;""</f>
        <v>Yes</v>
      </c>
      <c r="H121" s="185"/>
      <c r="I121" s="45" t="str">
        <f>VLOOKUP($A121,Questions!$A$2:$X$333,23,0)&amp;""</f>
        <v>Minor Importance</v>
      </c>
      <c r="J121" s="185"/>
      <c r="K121" s="48" t="b">
        <v>0</v>
      </c>
      <c r="L121" s="1"/>
    </row>
    <row r="122" spans="1:12" s="29" customFormat="1" ht="409.6" x14ac:dyDescent="0.25">
      <c r="A122" s="19" t="str">
        <f>Organization!$A$63</f>
        <v>PPPR-11</v>
      </c>
      <c r="B122" s="20" t="str">
        <f>VLOOKUP($A122,Organization!$A$13:$E$67,2,0)&amp;""</f>
        <v>Do you have an information security awareness program?</v>
      </c>
      <c r="C122" s="45" t="str">
        <f>VLOOKUP($A122,Organization!$A$13:$E$67,3,0)&amp;""</f>
        <v>Yes</v>
      </c>
      <c r="D122" s="34" t="str">
        <f>IF(LEFT(VLOOKUP($A122,Organization!$A$13:$E$67,5,0),21)='Auto Responses'!$A$32,'Auto Responses'!$A$33,VLOOKUP($A122,Organization!$A$13:$E$67,4,0))&amp;""</f>
        <v>Cursive operates an information security awareness program for all employees per the Cursive Policies and Procedures. Awareness components: KnowBe4 training modules covering phishing, social engineering, credential hygiene, and incident response; FERPA 201 training (US Department of Education) completed during onboarding; annual review of the Cursive Information Security Policy; ongoing threat awareness communications driven by current threat intelligence and incident learnings. Completion is audited annually per the Cursive Compliance Policy and Procedure Review Calendar.</v>
      </c>
      <c r="E122" s="330" t="str">
        <f>VLOOKUP($A122,Organization!$A$13:$E$67,5,0)&amp;""</f>
        <v>Summarize your information security awareness program.</v>
      </c>
      <c r="F122" s="195"/>
      <c r="G122" s="30" t="str">
        <f>VLOOKUP($A122,Questions!$A$2:$X$333,21,0)&amp;""</f>
        <v>Yes</v>
      </c>
      <c r="H122" s="185"/>
      <c r="I122" s="45" t="str">
        <f>VLOOKUP($A122,Questions!$A$2:$X$333,23,0)&amp;""</f>
        <v>Minor Importance</v>
      </c>
      <c r="J122" s="185"/>
      <c r="K122" s="48" t="b">
        <v>0</v>
      </c>
      <c r="L122" s="1"/>
    </row>
    <row r="123" spans="1:12" s="29" customFormat="1" ht="259.2" x14ac:dyDescent="0.25">
      <c r="A123" s="19" t="str">
        <f>Organization!$A$64</f>
        <v>PPPR-12</v>
      </c>
      <c r="B123" s="20" t="str">
        <f>VLOOKUP($A123,Organization!$A$13:$E$67,2,0)&amp;""</f>
        <v>Is security awareness training mandatory for all employees?</v>
      </c>
      <c r="C123" s="45" t="str">
        <f>VLOOKUP($A123,Organization!$A$13:$E$67,3,0)&amp;""</f>
        <v>Yes</v>
      </c>
      <c r="D123" s="34" t="str">
        <f>IF(LEFT(VLOOKUP($A123,Organization!$A$13:$E$67,5,0),21)='Auto Responses'!$A$32,'Auto Responses'!$A$33,VLOOKUP($A123,Organization!$A$13:$E$67,4,0))&amp;""</f>
        <v>Security awareness training is mandatory for all employees. Mandatory components: KnowBe4 training modules; FERPA 201 training; annual policy acknowledgment. Completion is required during onboarding and annually thereafter. Non-completion triggers access review per the Cursive Policies and Procedures.</v>
      </c>
      <c r="E123" s="330" t="str">
        <f>VLOOKUP($A123,Organization!$A$13:$E$67,5,0)&amp;""</f>
        <v>Summarize your security awareness training content and state how frequently employees are required to undergo security awareness training.</v>
      </c>
      <c r="F123" s="195"/>
      <c r="G123" s="30" t="str">
        <f>VLOOKUP($A123,Questions!$A$2:$X$333,21,0)&amp;""</f>
        <v>Yes</v>
      </c>
      <c r="H123" s="185"/>
      <c r="I123" s="45" t="str">
        <f>VLOOKUP($A123,Questions!$A$2:$X$333,23,0)&amp;""</f>
        <v>Minor Importance</v>
      </c>
      <c r="J123" s="185"/>
      <c r="K123" s="48" t="b">
        <v>0</v>
      </c>
      <c r="L123" s="1"/>
    </row>
    <row r="124" spans="1:12" s="29" customFormat="1" ht="409.6" x14ac:dyDescent="0.25">
      <c r="A124" s="19" t="str">
        <f>Organization!$A$65</f>
        <v>PPPR-13</v>
      </c>
      <c r="B124" s="20" t="str">
        <f>VLOOKUP($A124,Organization!$A$13:$E$67,2,0)&amp;""</f>
        <v>Do you have process and procedure(s) documented, and currently followed, that require a review and update of the access list(s) for privileged accounts?</v>
      </c>
      <c r="C124" s="45" t="str">
        <f>VLOOKUP($A124,Organization!$A$13:$E$67,3,0)&amp;""</f>
        <v>Yes</v>
      </c>
      <c r="D124" s="34" t="str">
        <f>IF(LEFT(VLOOKUP($A124,Organization!$A$13:$E$67,5,0),21)='Auto Responses'!$A$32,'Auto Responses'!$A$33,VLOOKUP($A124,Organization!$A$13:$E$67,4,0))&amp;""</f>
        <v>Privileged account access lists are reviewed quarterly per the Cursive Policies and Procedures (Identification &amp; Authentication section). Review covers: AWS IAM privileged roles and group membership; GitHub Organization owner and admin roles; Linear administrative roles; Google Workspace administrative access; Bitwarden vault administrative access. Review verifies that each privileged account corresponds to an active business need, that least-privilege scoping remains appropriate, and that offboarded staff or terminated subprocessor engagements have had their privileged access revoked. Review outcomes are documented; access changes are made through the standard change management process with audit logging via AWS CloudTrail and equivalent provider audit logs.</v>
      </c>
      <c r="E124" s="330" t="str">
        <f>VLOOKUP($A124,Organization!$A$13:$E$67,5,0)&amp;""</f>
        <v>Provide a brief summary and the implement review interval.</v>
      </c>
      <c r="F124" s="195"/>
      <c r="G124" s="30" t="str">
        <f>VLOOKUP($A124,Questions!$A$2:$X$333,21,0)&amp;""</f>
        <v>Yes</v>
      </c>
      <c r="H124" s="185"/>
      <c r="I124" s="45" t="str">
        <f>VLOOKUP($A124,Questions!$A$2:$X$333,23,0)&amp;""</f>
        <v>Minor Importance</v>
      </c>
      <c r="J124" s="185"/>
      <c r="K124" s="48" t="b">
        <v>0</v>
      </c>
      <c r="L124" s="1"/>
    </row>
    <row r="125" spans="1:12" s="29" customFormat="1" ht="409.6" x14ac:dyDescent="0.25">
      <c r="A125" s="19" t="str">
        <f>Organization!$A$66</f>
        <v>PPPR-14</v>
      </c>
      <c r="B125" s="20" t="str">
        <f>VLOOKUP($A125,Organization!$A$13:$E$67,2,0)&amp;""</f>
        <v>Do you have documented, and currently implemented, internal audit processes and procedures?</v>
      </c>
      <c r="C125" s="45" t="str">
        <f>VLOOKUP($A125,Organization!$A$13:$E$67,3,0)&amp;""</f>
        <v>Yes</v>
      </c>
      <c r="D125" s="34" t="str">
        <f>IF(LEFT(VLOOKUP($A125,Organization!$A$13:$E$67,5,0),21)='Auto Responses'!$A$32,'Auto Responses'!$A$33,VLOOKUP($A125,Organization!$A$13:$E$67,4,0))&amp;""</f>
        <v>Cursive has documented and currently implemented internal audit processes per the Cursive Policies and Procedures (Audit &amp; Accountability section). Internal audit components include: annual review of all Cursive policies and procedures per the Compliance Policy and Procedure Review Calendar; quarterly review of privileged account access; ongoing review of POAM items and remediation progress; periodic configuration audits of AWS resources, GitHub repositories, and other production systems; review of subprocessor compliance with engagement terms. Internal audit findings drive POAM updates and Linear ticket creation for remediation.</v>
      </c>
      <c r="E125" s="330" t="str">
        <f>VLOOKUP($A125,Organization!$A$13:$E$67,5,0)&amp;""</f>
        <v>Summarize your internal audit processes and procedures.</v>
      </c>
      <c r="F125" s="195"/>
      <c r="G125" s="30" t="str">
        <f>VLOOKUP($A125,Questions!$A$2:$X$333,21,0)&amp;""</f>
        <v>Yes</v>
      </c>
      <c r="H125" s="185"/>
      <c r="I125" s="45" t="str">
        <f>VLOOKUP($A125,Questions!$A$2:$X$333,23,0)&amp;""</f>
        <v>Minor Importance</v>
      </c>
      <c r="J125" s="185"/>
      <c r="K125" s="48" t="b">
        <v>0</v>
      </c>
      <c r="L125" s="1"/>
    </row>
    <row r="126" spans="1:12" s="29" customFormat="1" ht="409.6" thickBot="1" x14ac:dyDescent="0.3">
      <c r="A126" s="19" t="str">
        <f>Organization!$A$67</f>
        <v>PPPR-15</v>
      </c>
      <c r="B126" s="20" t="str">
        <f>VLOOKUP($A126,Organization!$A$13:$E$67,2,0)&amp;""</f>
        <v>Does your organization have physical security controls and policies in place?</v>
      </c>
      <c r="C126" s="45" t="str">
        <f>VLOOKUP($A126,Organization!$A$13:$E$67,3,0)&amp;""</f>
        <v>N/A</v>
      </c>
      <c r="D126" s="34" t="str">
        <f>IF(LEFT(VLOOKUP($A126,Organization!$A$13:$E$67,5,0),21)='Auto Responses'!$A$32,'Auto Responses'!$A$33,VLOOKUP($A126,Organization!$A$13:$E$67,4,0))&amp;""</f>
        <v xml:space="preserve">Cursive does not operate physical facilities containing institutional data — all production hosting is on AWS-managed infrastructure, and Cursive operates as a fully remote organization with no physical office or data center. Physical security controls for institutional data are therefore inherited from AWS data center physical security, which includes 24x7 staffing, physical access controls, intrusion detection, video surveillance, and environmental protection — all documented in AWS's SOC 2 Type 2 reports and ISO 27001 attestation. For staff workstations, endpoint security and remote work practices are documented.
</v>
      </c>
      <c r="E126" s="330" t="str">
        <f>VLOOKUP($A126,Organization!$A$13:$E$67,5,0)&amp;""</f>
        <v>Please explain why this does not apply to your organization, product or service.</v>
      </c>
      <c r="F126" s="195"/>
      <c r="G126" s="30" t="str">
        <f>VLOOKUP($A126,Questions!$A$2:$X$333,21,0)&amp;""</f>
        <v>Yes</v>
      </c>
      <c r="H126" s="185"/>
      <c r="I126" s="45" t="str">
        <f>VLOOKUP($A126,Questions!$A$2:$X$333,23,0)&amp;""</f>
        <v>Minor Importance</v>
      </c>
      <c r="J126" s="185"/>
      <c r="K126" s="49" t="b">
        <v>0</v>
      </c>
      <c r="L126" s="1"/>
    </row>
    <row r="127" spans="1:12" s="1" customFormat="1" ht="17.399999999999999" x14ac:dyDescent="0.25">
      <c r="A127" s="63" t="str">
        <f>VLOOKUP(LEFT($A128,4),'Auto Responses'!$N$4:$O$38,2,0)&amp;""</f>
        <v xml:space="preserve"> Authentication, Authorization, and Account Management</v>
      </c>
      <c r="B127" s="22"/>
      <c r="C127" s="31"/>
      <c r="D127" s="31"/>
      <c r="E127" s="331"/>
      <c r="F127" s="131" t="s">
        <v>1030</v>
      </c>
      <c r="G127" s="335" t="s">
        <v>869</v>
      </c>
      <c r="H127" s="335" t="s">
        <v>871</v>
      </c>
      <c r="I127" s="335" t="s">
        <v>19</v>
      </c>
      <c r="J127" s="335" t="s">
        <v>856</v>
      </c>
      <c r="K127" s="335" t="s">
        <v>867</v>
      </c>
    </row>
    <row r="128" spans="1:12" s="29" customFormat="1" ht="409.6" x14ac:dyDescent="0.25">
      <c r="A128" s="19" t="str">
        <f>Product!$A$20</f>
        <v>AAAI-01</v>
      </c>
      <c r="B128" s="20" t="str">
        <f>VLOOKUP($A128,Product!$A$13:$E$61,2,0)&amp;""</f>
        <v>Does your solution support single sign-on (SSO) protocols for user and administrator authentication?*</v>
      </c>
      <c r="C128" s="45" t="str">
        <f>VLOOKUP($A128,Product!$A$13:$E$61,3,0)&amp;""</f>
        <v>Yes</v>
      </c>
      <c r="D128" s="34" t="str">
        <f>IF(LEFT(VLOOKUP($A128,Product!$A$13:$E$61,5,0),21)='Auto Responses'!$A$32,'Auto Responses'!$A$33,VLOOKUP($A128,Product!$A$13:$E$61,4,0))&amp;""</f>
        <v>All authentication is delegated to LTI and/or the institution's native application (e.g., Moodle). There is no direct end-user or administrator login to Cursive's system. Authentication is brokered securely between the client site and Cursive's API via LMS-issued tokens; no individual login or administrator action is required at the Cursive layer. SSO at the institutional layer is fully supported through the LTI standard and Moodle's native authentication (which itself supports SAML, OIDC, CAS, LDAP, Shibboleth, and other federated authentication protocols).</v>
      </c>
      <c r="E128" s="330" t="str">
        <f>VLOOKUP($A128,Product!$A$13:$E$61,5,0)&amp;""</f>
        <v>Describe how strong authentication is enforced (e.g., complex passwords, multifactor tokens, certificates, biometrics, aging requirements, re-use policy).</v>
      </c>
      <c r="F128" s="195"/>
      <c r="G128" s="30" t="str">
        <f>VLOOKUP($A128,Questions!$A$2:$X$333,21,0)&amp;""</f>
        <v>Yes</v>
      </c>
      <c r="H128" s="185"/>
      <c r="I128" s="45" t="str">
        <f>VLOOKUP($A128,Questions!$A$2:$X$333,23,0)&amp;""</f>
        <v>Critical Importance</v>
      </c>
      <c r="J128" s="185"/>
      <c r="K128" s="48" t="b">
        <v>0</v>
      </c>
      <c r="L128" s="1"/>
    </row>
    <row r="129" spans="1:12" s="29" customFormat="1" ht="356.4" x14ac:dyDescent="0.25">
      <c r="A129" s="19" t="str">
        <f>Product!$A$21</f>
        <v>AAAI-02</v>
      </c>
      <c r="B129" s="20" t="str">
        <f>VLOOKUP($A129,Product!$A$13:$E$61,2,0)&amp;""</f>
        <v>For customers not using SSO, does your solution support local authentication protocols for user and administrator authentication?*</v>
      </c>
      <c r="C129" s="45" t="str">
        <f>VLOOKUP($A129,Product!$A$13:$E$61,3,0)&amp;""</f>
        <v>Yes</v>
      </c>
      <c r="D129" s="34" t="str">
        <f>IF(LEFT(VLOOKUP($A129,Product!$A$13:$E$61,5,0),21)='Auto Responses'!$A$32,'Auto Responses'!$A$33,VLOOKUP($A129,Product!$A$13:$E$61,4,0))&amp;""</f>
        <v>Authentication for end users and institutional administrators is delegated entirely to LTI and/or the institution's native application (Moodle). Cursive does not maintain a separate local authentication system for institutional users — there is no direct login to Cursive's system. The institution's local authentication mechanism (Moodle's local password authentication, where applicable) flows through to TypeID via the LMS integration.</v>
      </c>
      <c r="E129" s="330" t="str">
        <f>VLOOKUP($A129,Product!$A$13:$E$61,5,0)&amp;""</f>
        <v>Provide a detailed description of your local authentication mode practices.</v>
      </c>
      <c r="F129" s="195"/>
      <c r="G129" s="30" t="str">
        <f>VLOOKUP($A129,Questions!$A$2:$X$333,21,0)&amp;""</f>
        <v>Yes</v>
      </c>
      <c r="H129" s="185"/>
      <c r="I129" s="45" t="str">
        <f>VLOOKUP($A129,Questions!$A$2:$X$333,23,0)&amp;""</f>
        <v>Critical Importance</v>
      </c>
      <c r="J129" s="185"/>
      <c r="K129" s="48" t="b">
        <v>0</v>
      </c>
      <c r="L129" s="1"/>
    </row>
    <row r="130" spans="1:12" s="29" customFormat="1" ht="307.8" x14ac:dyDescent="0.25">
      <c r="A130" s="19" t="str">
        <f>Product!$A$22</f>
        <v>AAAI-03</v>
      </c>
      <c r="B130" s="20" t="str">
        <f>VLOOKUP($A130,Product!$A$13:$E$61,2,0)&amp;""</f>
        <v>For customers not using SSO, can you enforce password/passphrase complexity requirements (provided by the institution)?*</v>
      </c>
      <c r="C130" s="45" t="str">
        <f>VLOOKUP($A130,Product!$A$13:$E$61,3,0)&amp;""</f>
        <v>Yes</v>
      </c>
      <c r="D130" s="34" t="str">
        <f>IF(LEFT(VLOOKUP($A130,Product!$A$13:$E$61,5,0),21)='Auto Responses'!$A$32,'Auto Responses'!$A$33,VLOOKUP($A130,Product!$A$13:$E$61,4,0))&amp;""</f>
        <v>Password complexity requirements are enforced at the institutional LMS layer (Moodle), where the institution configures its own complexity, length, history, and rotation policies per institutional policy. Cursive inherits whatever password policy the institution has configured. There is no separate Cursive password policy because there is no direct login to Cursive's system.</v>
      </c>
      <c r="E130" s="330" t="str">
        <f>VLOOKUP($A130,Product!$A$13:$E$61,5,0)&amp;""</f>
        <v>Describe how password/passphrase complexity requirements are implemented in the product.</v>
      </c>
      <c r="F130" s="195"/>
      <c r="G130" s="30" t="str">
        <f>VLOOKUP($A130,Questions!$A$2:$X$333,21,0)&amp;""</f>
        <v>Yes</v>
      </c>
      <c r="H130" s="185"/>
      <c r="I130" s="45" t="str">
        <f>VLOOKUP($A130,Questions!$A$2:$X$333,23,0)&amp;""</f>
        <v>Critical Importance</v>
      </c>
      <c r="J130" s="185"/>
      <c r="K130" s="48" t="b">
        <v>0</v>
      </c>
      <c r="L130" s="1"/>
    </row>
    <row r="131" spans="1:12" s="29" customFormat="1" ht="388.8" x14ac:dyDescent="0.25">
      <c r="A131" s="19" t="str">
        <f>Product!$A$23</f>
        <v>AAAI-04</v>
      </c>
      <c r="B131" s="20" t="str">
        <f>VLOOKUP($A131,Product!$A$13:$E$61,2,0)&amp;""</f>
        <v>For customers not using SSO, does the system have password complexity or length limitations and/or restrictions?*</v>
      </c>
      <c r="C131" s="45" t="str">
        <f>VLOOKUP($A131,Product!$A$13:$E$61,3,0)&amp;""</f>
        <v>Yes</v>
      </c>
      <c r="D131" s="34" t="str">
        <f>IF(LEFT(VLOOKUP($A131,Product!$A$13:$E$61,5,0),21)='Auto Responses'!$A$32,'Auto Responses'!$A$33,VLOOKUP($A131,Product!$A$13:$E$61,4,0))&amp;""</f>
        <v>Password complexity, length, and restriction settings are enforced at the institutional LMS layer (Moodle) per the institution's configured policy. Cursive does not maintain separate password complexity rules because there is no direct login to Cursive's system. Cursive's documented password policy in the Cursive Policies and Procedures (14+ characters, mixed case + number + special character, annual rotation, no readable substitutions) governs Cursive staff access to internal Cursive systems.</v>
      </c>
      <c r="E131" s="330" t="str">
        <f>VLOOKUP($A131,Product!$A$13:$E$61,5,0)&amp;""</f>
        <v>Describe these limitations and/or restrictions and state what lengths and complexities are supported.</v>
      </c>
      <c r="F131" s="195"/>
      <c r="G131" s="30" t="str">
        <f>VLOOKUP($A131,Questions!$A$2:$X$333,21,0)&amp;""</f>
        <v>No</v>
      </c>
      <c r="H131" s="185"/>
      <c r="I131" s="45" t="str">
        <f>VLOOKUP($A131,Questions!$A$2:$X$333,23,0)&amp;""</f>
        <v>Critical Importance</v>
      </c>
      <c r="J131" s="185"/>
      <c r="K131" s="48" t="b">
        <v>0</v>
      </c>
      <c r="L131" s="1"/>
    </row>
    <row r="132" spans="1:12" s="29" customFormat="1" ht="388.8" x14ac:dyDescent="0.25">
      <c r="A132" s="19" t="str">
        <f>Product!$A$24</f>
        <v>AAAI-05</v>
      </c>
      <c r="B132" s="20" t="str">
        <f>VLOOKUP($A132,Product!$A$13:$E$61,2,0)&amp;""</f>
        <v>For customers not using SSO, do you have documented password/passphrase reset procedures that are currently implemented in the system and/or customer support?*</v>
      </c>
      <c r="C132" s="45" t="str">
        <f>VLOOKUP($A132,Product!$A$13:$E$61,3,0)&amp;""</f>
        <v>Yes</v>
      </c>
      <c r="D132" s="34" t="str">
        <f>IF(LEFT(VLOOKUP($A132,Product!$A$13:$E$61,5,0),21)='Auto Responses'!$A$32,'Auto Responses'!$A$33,VLOOKUP($A132,Product!$A$13:$E$61,4,0))&amp;""</f>
        <v>Password reset for end users is performed at the institutional LMS layer (Moodle) per the institution's documented reset procedures. Cursive does not perform password resets for institutional users because there is no direct login to Cursive's system. For Cursive staff access to internal Cursive systems, password reset procedures are documented in the Cursive Policies and Procedures and follow MFA-protected reset flows through Bitwarden and SSO providers.</v>
      </c>
      <c r="E132" s="330" t="str">
        <f>VLOOKUP($A132,Product!$A$13:$E$61,5,0)&amp;""</f>
        <v>Describe your documented password/passphrase reset procedures that are currently implemented in the system and/or customer support.</v>
      </c>
      <c r="F132" s="195"/>
      <c r="G132" s="30" t="str">
        <f>VLOOKUP($A132,Questions!$A$2:$X$333,21,0)&amp;""</f>
        <v>Yes</v>
      </c>
      <c r="H132" s="185"/>
      <c r="I132" s="45" t="str">
        <f>VLOOKUP($A132,Questions!$A$2:$X$333,23,0)&amp;""</f>
        <v>Critical Importance</v>
      </c>
      <c r="J132" s="185"/>
      <c r="K132" s="48" t="b">
        <v>0</v>
      </c>
      <c r="L132" s="1"/>
    </row>
    <row r="133" spans="1:12" s="29" customFormat="1" ht="291.60000000000002" x14ac:dyDescent="0.25">
      <c r="A133" s="19" t="str">
        <f>Product!$A$25</f>
        <v>AAAI-06</v>
      </c>
      <c r="B133" s="20" t="str">
        <f>VLOOKUP($A133,Product!$A$13:$E$61,2,0)&amp;""</f>
        <v>Does your organization participate in InCommon or another eduGAIN-affiliated trust federation?*</v>
      </c>
      <c r="C133" s="45" t="str">
        <f>VLOOKUP($A133,Product!$A$13:$E$61,3,0)&amp;""</f>
        <v>No</v>
      </c>
      <c r="D133" s="34" t="str">
        <f>IF(LEFT(VLOOKUP($A133,Product!$A$13:$E$61,5,0),21)='Auto Responses'!$A$32,'Auto Responses'!$A$33,VLOOKUP($A133,Product!$A$13:$E$61,4,0))&amp;""</f>
        <v>Cursive does not currently participate in InCommon or another eduGAIN-affiliated trust federation. All authentication is delegated to LTI and/or the institution's native application (Moodle), which inherits the institution's federation membership. Direct InCommon/eduGAIN participation by Cursive will be evaluated as required by institutional engagement.</v>
      </c>
      <c r="E133" s="330" t="str">
        <f>VLOOKUP($A133,Product!$A$13:$E$61,5,0)&amp;""</f>
        <v>Describe plans to participate in InCommon or another eduGAIN-affiliated trust federation.</v>
      </c>
      <c r="F133" s="195"/>
      <c r="G133" s="30" t="str">
        <f>VLOOKUP($A133,Questions!$A$2:$X$333,21,0)&amp;""</f>
        <v>Yes</v>
      </c>
      <c r="H133" s="185"/>
      <c r="I133" s="45" t="str">
        <f>VLOOKUP($A133,Questions!$A$2:$X$333,23,0)&amp;""</f>
        <v>Critical Importance</v>
      </c>
      <c r="J133" s="185"/>
      <c r="K133" s="48" t="b">
        <v>0</v>
      </c>
      <c r="L133" s="1"/>
    </row>
    <row r="134" spans="1:12" s="29" customFormat="1" ht="409.6" x14ac:dyDescent="0.25">
      <c r="A134" s="19" t="str">
        <f>Product!$A$26</f>
        <v>AAAI-07</v>
      </c>
      <c r="B134" s="20" t="str">
        <f>VLOOKUP($A134,Product!$A$13:$E$61,2,0)&amp;""</f>
        <v>Are there any passwords/passphrases hard-coded into your systems or solutions?*</v>
      </c>
      <c r="C134" s="45" t="str">
        <f>VLOOKUP($A134,Product!$A$13:$E$61,3,0)&amp;""</f>
        <v>No</v>
      </c>
      <c r="D134" s="34" t="str">
        <f>IF(LEFT(VLOOKUP($A134,Product!$A$13:$E$61,5,0),21)='Auto Responses'!$A$32,'Auto Responses'!$A$33,VLOOKUP($A134,Product!$A$13:$E$61,4,0))&amp;""</f>
        <v>No passwords or passphrases are hard-coded into Cursive's systems, applications, or source code. All credentials and secrets are managed through Bitwarden (for staff credentials) and AWS Secrets Manager / AWS Systems Manager Parameter Store (for application-layer credentials, API keys, and database connection strings). Source code repositories are scanned for accidental credential commits via GitHub-native secret scanning and Dependabot. No credentials appear in version-controlled code.</v>
      </c>
      <c r="E134" s="330" t="str">
        <f>VLOOKUP($A134,Product!$A$13:$E$61,5,0)&amp;""</f>
        <v/>
      </c>
      <c r="F134" s="195"/>
      <c r="G134" s="30" t="str">
        <f>VLOOKUP($A134,Questions!$A$2:$X$333,21,0)&amp;""</f>
        <v>No</v>
      </c>
      <c r="H134" s="185"/>
      <c r="I134" s="45" t="str">
        <f>VLOOKUP($A134,Questions!$A$2:$X$333,23,0)&amp;""</f>
        <v>Critical Importance</v>
      </c>
      <c r="J134" s="185"/>
      <c r="K134" s="48" t="b">
        <v>0</v>
      </c>
      <c r="L134" s="1"/>
    </row>
    <row r="135" spans="1:12" s="29" customFormat="1" ht="340.2" x14ac:dyDescent="0.25">
      <c r="A135" s="19" t="str">
        <f>Product!$A$27</f>
        <v>AAAI-08</v>
      </c>
      <c r="B135" s="20" t="str">
        <f>VLOOKUP($A135,Product!$A$13:$E$61,2,0)&amp;""</f>
        <v>Are you storing any passwords in plaintext?*</v>
      </c>
      <c r="C135" s="45" t="str">
        <f>VLOOKUP($A135,Product!$A$13:$E$61,3,0)&amp;""</f>
        <v>No</v>
      </c>
      <c r="D135" s="34" t="str">
        <f>IF(LEFT(VLOOKUP($A135,Product!$A$13:$E$61,5,0),21)='Auto Responses'!$A$32,'Auto Responses'!$A$33,VLOOKUP($A135,Product!$A$13:$E$61,4,0))&amp;""</f>
        <v>Cursive does not store passwords in plaintext. As described in AAAI-01 / AAAI-02, end-user authentication is delegated to LTI and/or the institutional Moodle layer — Cursive does not store end-user passwords at all. For Cursive staff access to internal systems, credentials are managed through Bitwarden (zero-knowledge encrypted credential vault) and SSO providers; no plaintext password storage occurs at any layer Cursive controls.</v>
      </c>
      <c r="E135" s="330" t="str">
        <f>VLOOKUP($A135,Product!$A$13:$E$61,5,0)&amp;""</f>
        <v/>
      </c>
      <c r="F135" s="195"/>
      <c r="G135" s="30" t="str">
        <f>VLOOKUP($A135,Questions!$A$2:$X$333,21,0)&amp;""</f>
        <v>No</v>
      </c>
      <c r="H135" s="185"/>
      <c r="I135" s="45" t="str">
        <f>VLOOKUP($A135,Questions!$A$2:$X$333,23,0)&amp;""</f>
        <v>Critical Importance</v>
      </c>
      <c r="J135" s="185"/>
      <c r="K135" s="48" t="b">
        <v>0</v>
      </c>
      <c r="L135" s="1"/>
    </row>
    <row r="136" spans="1:12" s="29" customFormat="1" ht="409.6" x14ac:dyDescent="0.25">
      <c r="A136" s="19" t="str">
        <f>Product!$A$28</f>
        <v>AAAI-09</v>
      </c>
      <c r="B136" s="20" t="str">
        <f>VLOOKUP($A136,Product!$A$13:$E$61,2,0)&amp;""</f>
        <v>Are audit logs available that include AT LEAST all of the following: login, logout, actions performed, and source IP address?*</v>
      </c>
      <c r="C136" s="45" t="str">
        <f>VLOOKUP($A136,Product!$A$13:$E$61,3,0)&amp;""</f>
        <v>Yes</v>
      </c>
      <c r="D136" s="34" t="str">
        <f>IF(LEFT(VLOOKUP($A136,Product!$A$13:$E$61,5,0),21)='Auto Responses'!$A$32,'Auto Responses'!$A$33,VLOOKUP($A136,Product!$A$13:$E$61,4,0))&amp;""</f>
        <v>Partial - Cursive maintains audit logs at multiple layers, though the specific combination of (login + logout + actions performed + source IP) varies by layer because end-user authentication is delegated to the LMS rather than performed at the Cursive layer:
(1) End-user login/logout events are logged at the institutional LMS layer (Moodle) per the institution's audit configuration — Cursive does not see end-user login events directly because there is no direct login to Cursive.
(2) API request logs at the Cursive layer capture: timestamp, LMS-issued UUID (user identifier — not name or email), request endpoint, action performed (inference request, data submission, etc.), request payload metadata, response/outcome, and source IP from AWS load balancer access logs.
(3) AWS CloudTrail logs all administrative actions at the infrastructure layer (Cursive staff and subprocessor administrative access), including identity, timestamp, action, source IP, and result.
(4) AWS GuardDuty (under deployment) will provide additional behavior-anomaly logging.
Logs are retained per the audit retention requirements in the Cursive Policies and Procedures (3+ years), are immutable, and are made available to institutional customers on contractual request.</v>
      </c>
      <c r="E136" s="330" t="str">
        <f>VLOOKUP($A136,Product!$A$13:$E$61,5,0)&amp;""</f>
        <v/>
      </c>
      <c r="F136" s="195"/>
      <c r="G136" s="30" t="str">
        <f>VLOOKUP($A136,Questions!$A$2:$X$333,21,0)&amp;""</f>
        <v>Yes</v>
      </c>
      <c r="H136" s="185"/>
      <c r="I136" s="45" t="str">
        <f>VLOOKUP($A136,Questions!$A$2:$X$333,23,0)&amp;""</f>
        <v>Critical Importance</v>
      </c>
      <c r="J136" s="185"/>
      <c r="K136" s="48" t="b">
        <v>0</v>
      </c>
      <c r="L136" s="1"/>
    </row>
    <row r="137" spans="1:12" s="29" customFormat="1" ht="409.6" x14ac:dyDescent="0.25">
      <c r="A137" s="19" t="str">
        <f>Product!$A$29</f>
        <v>AAAI-10</v>
      </c>
      <c r="B137" s="20" t="str">
        <f>VLOOKUP($A137,Product!$A$13:$E$61,2,0)&amp;""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37" s="305" t="str">
        <f>VLOOKUP($A137,Product!$A$13:$E$61,3,0)&amp;""</f>
        <v>Cursive's logging and monitoring architecture:
(a) System capability to log security/authorization changes and user/administrator security events:
— AWS CloudTrail logs all AWS API calls including IAM changes, security group modifications, KMS key operations, and S3 access events. CloudTrail logs are immutable and retained 3+ years per the Cursive Policies and Procedures.
— Application-layer API logs capture inference requests, authentication failures (LMS-token validation failures), rate-limit violations, schema validation rejections, and HMAC signature failures.
— GitHub audit log captures repository access, branch protection changes, and administrative actions on the source code.
— AWS WAF logs (when WAF is deployed as part of the EKS rebuild) will capture blocked requests, rate-limit triggers, and policy violations.
(b) Logging and monitoring requirements implemented:
— Centralized logging via AWS CloudWatch Logs with cross-service correlation through AWS X-Ray for distributed services (Lambda, SQS, SNS).
— Alerting on security-relevant events via CloudWatch alarms with notification to Founder/CEO on-call.
— Audit log immutability through CloudTrail's append-only model and S3 with bucket policies preventing log deletion.
(c) SIEM / log collector usage:
— No dedicated commercial SIEM (e.g., Splunk, Datadog, Sumo Logic) is currently deployed. AWS CloudWatch + CloudTrail + S3 archival serve as the centralized log aggregation layer. SIEM evaluation is on the security infrastructure roadmap as part of the EKS rebuild and AWS security certification effort. AWS Security Hub is being onboarded to provide centralized security finding aggregation across AWS services.</v>
      </c>
      <c r="D137" s="306" t="str">
        <f>IF(LEFT(VLOOKUP($A137,Product!$A$13:$E$61,5,0),21)='Auto Responses'!$A$32,'Auto Responses'!$A$33,VLOOKUP($A137,Product!$A$13:$E$61,4,0))&amp;""</f>
        <v/>
      </c>
      <c r="E137" s="332" t="str">
        <f>VLOOKUP($A137,Product!$A$13:$E$61,5,0)&amp;""</f>
        <v>Ensure that all elements of AAAI-10 are clearly stated in your response.</v>
      </c>
      <c r="F137" s="195"/>
      <c r="G137" s="30" t="str">
        <f>VLOOKUP($A137,Questions!$A$2:$X$333,21,0)&amp;""</f>
        <v>Not scored</v>
      </c>
      <c r="H137" s="185"/>
      <c r="I137" s="45" t="str">
        <f>VLOOKUP($A137,Questions!$A$2:$X$333,23,0)&amp;""</f>
        <v/>
      </c>
      <c r="J137" s="185"/>
      <c r="K137" s="48" t="b">
        <v>0</v>
      </c>
      <c r="L137" s="1"/>
    </row>
    <row r="138" spans="1:12" s="29" customFormat="1" ht="409.6" x14ac:dyDescent="0.25">
      <c r="A138" s="19" t="str">
        <f>Product!$A$30</f>
        <v>AAAI-11</v>
      </c>
      <c r="B138" s="20" t="str">
        <f>VLOOKUP($A138,Product!$A$13:$E$61,2,0)&amp;""</f>
        <v>Can you provide the institution documentation regarding the retention period for those logs, how logs are protected, and whether they are accessible to the customer (and if so, how)?*</v>
      </c>
      <c r="C138" s="45" t="str">
        <f>VLOOKUP($A138,Product!$A$13:$E$61,3,0)&amp;""</f>
        <v>Yes</v>
      </c>
      <c r="D138" s="34" t="str">
        <f>IF(LEFT(VLOOKUP($A138,Product!$A$13:$E$61,5,0),21)='Auto Responses'!$A$32,'Auto Responses'!$A$33,VLOOKUP($A138,Product!$A$13:$E$61,4,0))&amp;""</f>
        <v>Audit log retention and protection are documented in the Cursive Policies and Procedures:Retention period: Audit logs (AWS CloudTrail, application API logs, ALB access logs) are retained for a minimum of 3 years in accordance with the Audit &amp; Accountability policy. Logs are stored in AWS S3 with append-only bucket policies and lifecycle rules.Log protection: CloudTrail logs are immutable by design (append-only). S3 bucket policies prevent log deletion or modification. KMS encryption is applied at rest; TLS 1.2+ in transit. Access to log storage is gated through AWS IAM with least-privilege scoping; only the Founder/CEO and the AWS engineering subprocessor have access to log infrastructure.Customer accessibility: Audit logs are available to institutional customers under contractual request. Standard practice is to provide log excerpts relevant to the institution's tenant scope (filtered by the institution's UUID namespace and request context), delivered through secure channel. End-user authentication logs are accessible through the institution's own LMS (Moodle) since authentication occurs at the LMS layer.Documentation references: Cursive Policies and Procedures (Audit &amp; Accountability section) — available on request.</v>
      </c>
      <c r="E138" s="330" t="str">
        <f>VLOOKUP($A138,Product!$A$13:$E$61,5,0)&amp;""</f>
        <v>Ensure that all elements of AAAI-11 are clearly stated in your response.</v>
      </c>
      <c r="F138" s="195"/>
      <c r="G138" s="30" t="str">
        <f>VLOOKUP($A138,Questions!$A$2:$X$333,21,0)&amp;""</f>
        <v>Yes</v>
      </c>
      <c r="H138" s="185"/>
      <c r="I138" s="45" t="str">
        <f>VLOOKUP($A138,Questions!$A$2:$X$333,23,0)&amp;""</f>
        <v>Critical Importance</v>
      </c>
      <c r="J138" s="185"/>
      <c r="K138" s="48" t="b">
        <v>0</v>
      </c>
      <c r="L138" s="1"/>
    </row>
    <row r="139" spans="1:12" s="29" customFormat="1" ht="356.4" x14ac:dyDescent="0.25">
      <c r="A139" s="19" t="str">
        <f>Product!$A$31</f>
        <v>AAAI-12</v>
      </c>
      <c r="B139" s="20" t="str">
        <f>VLOOKUP($A139,Product!$A$13:$E$61,2,0)&amp;""</f>
        <v>For customers not using SSO, does your application support integration with other authentication and authorization systems?</v>
      </c>
      <c r="C139" s="45" t="str">
        <f>VLOOKUP($A139,Product!$A$13:$E$61,3,0)&amp;""</f>
        <v>Yes</v>
      </c>
      <c r="D139" s="34" t="str">
        <f>IF(LEFT(VLOOKUP($A139,Product!$A$13:$E$61,5,0),21)='Auto Responses'!$A$32,'Auto Responses'!$A$33,VLOOKUP($A139,Product!$A$13:$E$61,4,0))&amp;""</f>
        <v>All authentication is delegated to LTI and/or the institution's application (e.g., Moodle), which itself integrates with the institution's chosen authentication and authorization systems. Through the Moodle authentication plugin ecosystem and LTI standard, TypeID inherits integration with SAML, OIDC, CAS, LDAP, Shibboleth, OAuth, and any other authentication system the institution has configured. There is no direct login to Cursive's system.</v>
      </c>
      <c r="E139" s="330" t="str">
        <f>VLOOKUP($A139,Product!$A$13:$E$61,5,0)&amp;""</f>
        <v>List which systems and versions supported (such as Active Directory, Kerberos, or other LDAP compatible directory) in Additional Info.</v>
      </c>
      <c r="F139" s="195"/>
      <c r="G139" s="30" t="str">
        <f>VLOOKUP($A139,Questions!$A$2:$X$333,21,0)&amp;""</f>
        <v>Yes</v>
      </c>
      <c r="H139" s="185"/>
      <c r="I139" s="45" t="str">
        <f>VLOOKUP($A139,Questions!$A$2:$X$333,23,0)&amp;""</f>
        <v>Standard Importance</v>
      </c>
      <c r="J139" s="185"/>
      <c r="K139" s="48" t="b">
        <v>0</v>
      </c>
      <c r="L139" s="1"/>
    </row>
    <row r="140" spans="1:12" s="29" customFormat="1" ht="409.6" x14ac:dyDescent="0.25">
      <c r="A140" s="19" t="str">
        <f>Product!$A$32</f>
        <v>AAAI-13</v>
      </c>
      <c r="B140" s="20" t="str">
        <f>VLOOKUP($A140,Product!$A$13:$E$61,2,0)&amp;""</f>
        <v>Do you allow the customer to specify attribute mappings for any needed information beyond a user identifier? (e.g., Reference eduPerson, ePPA/ePPN/ePE)</v>
      </c>
      <c r="C140" s="45" t="str">
        <f>VLOOKUP($A140,Product!$A$13:$E$61,3,0)&amp;""</f>
        <v>No</v>
      </c>
      <c r="D140" s="34" t="str">
        <f>IF(LEFT(VLOOKUP($A140,Product!$A$13:$E$61,5,0),21)='Auto Responses'!$A$32,'Auto Responses'!$A$33,VLOOKUP($A140,Product!$A$13:$E$61,4,0))&amp;""</f>
        <v>Cursive does not collect or maintain attribute mappings for end users beyond the opaque LMS-issued UUID. No eduPerson, ePPA, ePPN, ePE, or other federated identity attributes are consumed by Cursive. All identifier information (name, email, role, institutional affiliation, course enrollment) is deferred to and managed by the institutional LMS. Cursive's data minimization architecture intentionally avoids consuming federated identity attributes that Cursive does not need to perform authorship verification.</v>
      </c>
      <c r="E140" s="330" t="str">
        <f>VLOOKUP($A140,Product!$A$13:$E$61,5,0)&amp;""</f>
        <v>Describe plans to allow customers to specify attribute mappings.</v>
      </c>
      <c r="F140" s="195"/>
      <c r="G140" s="30" t="str">
        <f>VLOOKUP($A140,Questions!$A$2:$X$333,21,0)&amp;""</f>
        <v>Yes</v>
      </c>
      <c r="H140" s="185"/>
      <c r="I140" s="45" t="str">
        <f>VLOOKUP($A140,Questions!$A$2:$X$333,23,0)&amp;""</f>
        <v>Standard Importance</v>
      </c>
      <c r="J140" s="185"/>
      <c r="K140" s="48" t="b">
        <v>0</v>
      </c>
      <c r="L140" s="1"/>
    </row>
    <row r="141" spans="1:12" s="29" customFormat="1" ht="340.2" x14ac:dyDescent="0.25">
      <c r="A141" s="19" t="str">
        <f>Product!$A$33</f>
        <v>AAAI-14</v>
      </c>
      <c r="B141" s="20" t="str">
        <f>VLOOKUP($A141,Product!$A$13:$E$61,2,0)&amp;""</f>
        <v>For customers not using SSO, does your application support directory integration for user accounts?</v>
      </c>
      <c r="C141" s="45" t="str">
        <f>VLOOKUP($A141,Product!$A$13:$E$61,3,0)&amp;""</f>
        <v>Yes</v>
      </c>
      <c r="D141" s="34" t="str">
        <f>IF(LEFT(VLOOKUP($A141,Product!$A$13:$E$61,5,0),21)='Auto Responses'!$A$32,'Auto Responses'!$A$33,VLOOKUP($A141,Product!$A$13:$E$61,4,0))&amp;""</f>
        <v>All authentication is delegated to LTI and/or the institution's application (e.g., Moodle), which integrates with the institution's directory service (Active Directory, LDAP, Azure AD, Google Workspace, etc.) per the institution's configuration. There is no direct login to Cursive's system, so Cursive does not perform direct directory integration; directory integration is inherited through the LMS layer.</v>
      </c>
      <c r="E141" s="330" t="str">
        <f>VLOOKUP($A141,Product!$A$13:$E$61,5,0)&amp;""</f>
        <v>Describe all authentication services supported by the system.</v>
      </c>
      <c r="F141" s="195"/>
      <c r="G141" s="30" t="str">
        <f>VLOOKUP($A141,Questions!$A$2:$X$333,21,0)&amp;""</f>
        <v>Yes</v>
      </c>
      <c r="H141" s="185"/>
      <c r="I141" s="45" t="str">
        <f>VLOOKUP($A141,Questions!$A$2:$X$333,23,0)&amp;""</f>
        <v>Standard Importance</v>
      </c>
      <c r="J141" s="185"/>
      <c r="K141" s="48" t="b">
        <v>0</v>
      </c>
      <c r="L141" s="1"/>
    </row>
    <row r="142" spans="1:12" s="29" customFormat="1" ht="372.6" x14ac:dyDescent="0.25">
      <c r="A142" s="19" t="str">
        <f>Product!$A$34</f>
        <v>AAAI-15</v>
      </c>
      <c r="B142" s="20" t="str">
        <f>VLOOKUP($A142,Product!$A$13:$E$61,2,0)&amp;""</f>
        <v>Does your solution support any of the following web SSO standards: SAML2 (with redirect flow), OIDC, CAS, or other?</v>
      </c>
      <c r="C142" s="45" t="str">
        <f>VLOOKUP($A142,Product!$A$13:$E$61,3,0)&amp;""</f>
        <v>Yes</v>
      </c>
      <c r="D142" s="34" t="str">
        <f>IF(LEFT(VLOOKUP($A142,Product!$A$13:$E$61,5,0),21)='Auto Responses'!$A$32,'Auto Responses'!$A$33,VLOOKUP($A142,Product!$A$13:$E$61,4,0))&amp;""</f>
        <v>All authentication is delegated to LTI and/or the institution's application (e.g., Moodle), which supports SAML2 (including redirect flow), OIDC, CAS, OAuth 2.0, and other SSO standards through Moodle's authentication plugin ecosystem. TypeID inherits the SSO standard configured at the LMS layer. There is no direct login to Cursive's system, so Cursive does not directly implement web SSO standards — SSO is inherited from the LMS configuration.</v>
      </c>
      <c r="E142" s="330" t="str">
        <f>VLOOKUP($A142,Product!$A$13:$E$61,5,0)&amp;""</f>
        <v>State the web SSO standards supported by your solution and provide additional details about your support, including framework(s) in use, how information is exchanged securely, etc.</v>
      </c>
      <c r="F142" s="195"/>
      <c r="G142" s="30" t="str">
        <f>VLOOKUP($A142,Questions!$A$2:$X$333,21,0)&amp;""</f>
        <v>Yes</v>
      </c>
      <c r="H142" s="185"/>
      <c r="I142" s="45" t="str">
        <f>VLOOKUP($A142,Questions!$A$2:$X$333,23,0)&amp;""</f>
        <v>Minor Importance</v>
      </c>
      <c r="J142" s="185"/>
      <c r="K142" s="48" t="b">
        <v>0</v>
      </c>
      <c r="L142" s="1"/>
    </row>
    <row r="143" spans="1:12" s="29" customFormat="1" ht="405" x14ac:dyDescent="0.25">
      <c r="A143" s="19" t="str">
        <f>Product!$A$35</f>
        <v>AAAI-16</v>
      </c>
      <c r="B143" s="20" t="str">
        <f>VLOOKUP($A143,Product!$A$13:$E$61,2,0)&amp;""</f>
        <v>Do you support differentiation between email address and user identifier?</v>
      </c>
      <c r="C143" s="45" t="str">
        <f>VLOOKUP($A143,Product!$A$13:$E$61,3,0)&amp;""</f>
        <v>No</v>
      </c>
      <c r="D143" s="34" t="str">
        <f>IF(LEFT(VLOOKUP($A143,Product!$A$13:$E$61,5,0),21)='Auto Responses'!$A$32,'Auto Responses'!$A$33,VLOOKUP($A143,Product!$A$13:$E$61,4,0))&amp;""</f>
        <v xml:space="preserve">Cursive uses only an opaque LMS-issued UUID as the user identifier; no email address is collected. Differentiation between email and user identifier is not architecturally relevant because the only identifier consumed is the UUID — there is no second identifier to differentiate from. The institutional LMS handles any internal differentiation between email, eduPersonPrincipalName, and other identifier types per the institution's configuration; Cursive sees only the UUID.
</v>
      </c>
      <c r="E143" s="330" t="str">
        <f>VLOOKUP($A143,Product!$A$13:$E$61,5,0)&amp;""</f>
        <v>Describe any plans to support differentiation between email address and user identifier.</v>
      </c>
      <c r="F143" s="195"/>
      <c r="G143" s="30" t="str">
        <f>VLOOKUP($A143,Questions!$A$2:$X$333,21,0)&amp;""</f>
        <v>Yes</v>
      </c>
      <c r="H143" s="185"/>
      <c r="I143" s="45" t="str">
        <f>VLOOKUP($A143,Questions!$A$2:$X$333,23,0)&amp;""</f>
        <v>Minor Importance</v>
      </c>
      <c r="J143" s="185"/>
      <c r="K143" s="48" t="b">
        <v>0</v>
      </c>
      <c r="L143" s="1"/>
    </row>
    <row r="144" spans="1:12" s="29" customFormat="1" ht="409.6" x14ac:dyDescent="0.25">
      <c r="A144" s="19" t="str">
        <f>Product!$A$36</f>
        <v>AAAI-17</v>
      </c>
      <c r="B144" s="20" t="str">
        <f>VLOOKUP($A144,Product!$A$13:$E$61,2,0)&amp;""</f>
        <v>For customers not using SSO, does your application and/or user frontend/portal support multifactor authentication (e.g., Duo, Google Authenticator, OTP, etc.)?</v>
      </c>
      <c r="C144" s="45" t="str">
        <f>VLOOKUP($A144,Product!$A$13:$E$61,3,0)&amp;""</f>
        <v>N/A</v>
      </c>
      <c r="D144" s="34" t="str">
        <f>IF(LEFT(VLOOKUP($A144,Product!$A$13:$E$61,5,0),21)='Auto Responses'!$A$32,'Auto Responses'!$A$33,VLOOKUP($A144,Product!$A$13:$E$61,4,0))&amp;""</f>
        <v xml:space="preserve">MFA at the end-user authentication layer is enforced by the institutional LMS per the institution's configuration; Cursive inherits whatever MFA policy the institution has in place. There is no direct login to Cursive's system for end users, so a Cursive-side MFA implementation is not architecturally applicable. For Cursive staff and administrative access to internal Cursive systems (AWS, GitHub, Linear, Google Workspace, Bitwarden), MFA is enforced on all administrative interfaces.
</v>
      </c>
      <c r="E144" s="330" t="str">
        <f>VLOOKUP($A144,Product!$A$13:$E$61,5,0)&amp;""</f>
        <v/>
      </c>
      <c r="F144" s="195"/>
      <c r="G144" s="30" t="str">
        <f>VLOOKUP($A144,Questions!$A$2:$X$333,21,0)&amp;""</f>
        <v>Yes</v>
      </c>
      <c r="H144" s="185"/>
      <c r="I144" s="45" t="str">
        <f>VLOOKUP($A144,Questions!$A$2:$X$333,23,0)&amp;""</f>
        <v>Minor Importance</v>
      </c>
      <c r="J144" s="185"/>
      <c r="K144" s="48" t="b">
        <v>0</v>
      </c>
      <c r="L144" s="1"/>
    </row>
    <row r="145" spans="1:12" s="29" customFormat="1" ht="409.6" x14ac:dyDescent="0.25">
      <c r="A145" s="19" t="str">
        <f>Product!$A$37</f>
        <v>AAAI-18</v>
      </c>
      <c r="B145" s="20" t="str">
        <f>VLOOKUP($A145,Product!$A$13:$E$61,2,0)&amp;""</f>
        <v>Does your application automatically lock the session or log out an account after a period of inactivity?</v>
      </c>
      <c r="C145" s="45" t="str">
        <f>VLOOKUP($A145,Product!$A$13:$E$61,3,0)&amp;""</f>
        <v>Yes</v>
      </c>
      <c r="D145" s="34" t="str">
        <f>IF(LEFT(VLOOKUP($A145,Product!$A$13:$E$61,5,0),21)='Auto Responses'!$A$32,'Auto Responses'!$A$33,VLOOKUP($A145,Product!$A$13:$E$61,4,0))&amp;""</f>
        <v xml:space="preserve">Session lockout/timeout for end users is enforced at the institutional LMS layer (Moodle), per the institution's configured session timeout policy. TypeID inherits the LMS session lifecycle — when the institution's Moodle session expires, the LMS-issued tokens that authorize Cursive API access become invalid. Cursive does not maintain a separate session lifecycle for end users because there is no direct login to Cursive's system. At the API layer, LMS-issued tokens used to authorize Cursive API requests have time-bound validity. For Cursive staff and administrative interfaces (AWS Console, GitHub, Linear, Google Workspace), session inactivity timeouts are enforced per the SSO provider's configured policy.
</v>
      </c>
      <c r="E145" s="330" t="str">
        <f>VLOOKUP($A145,Product!$A$13:$E$61,5,0)&amp;""</f>
        <v>Describe the default behavior of this capability.</v>
      </c>
      <c r="F145" s="195"/>
      <c r="G145" s="30" t="str">
        <f>VLOOKUP($A145,Questions!$A$2:$X$333,21,0)&amp;""</f>
        <v>Yes</v>
      </c>
      <c r="H145" s="185"/>
      <c r="I145" s="45" t="str">
        <f>VLOOKUP($A145,Questions!$A$2:$X$333,23,0)&amp;""</f>
        <v>Minor Importance</v>
      </c>
      <c r="J145" s="185"/>
      <c r="K145" s="48" t="b">
        <v>0</v>
      </c>
      <c r="L145" s="1"/>
    </row>
    <row r="146" spans="1:12" s="1" customFormat="1" ht="17.399999999999999" x14ac:dyDescent="0.25">
      <c r="A146" s="63" t="str">
        <f>VLOOKUP(LEFT($A147,4),'Auto Responses'!$N$4:$O$38,2,0)&amp;""</f>
        <v xml:space="preserve"> Data</v>
      </c>
      <c r="B146" s="22"/>
      <c r="C146" s="31"/>
      <c r="D146" s="31"/>
      <c r="E146" s="331"/>
      <c r="F146" s="131" t="s">
        <v>1030</v>
      </c>
      <c r="G146" s="335" t="s">
        <v>869</v>
      </c>
      <c r="H146" s="335" t="s">
        <v>871</v>
      </c>
      <c r="I146" s="335" t="s">
        <v>19</v>
      </c>
      <c r="J146" s="335" t="s">
        <v>856</v>
      </c>
      <c r="K146" s="335" t="s">
        <v>867</v>
      </c>
    </row>
    <row r="147" spans="1:12" s="29" customFormat="1" ht="409.6" x14ac:dyDescent="0.25">
      <c r="A147" s="19" t="str">
        <f>Product!$A$39</f>
        <v>DATA-01</v>
      </c>
      <c r="B147" s="20" t="str">
        <f>VLOOKUP($A147,Product!$A$13:$E$61,2,0)&amp;""</f>
        <v>Will the institution's data be stored on any devices (database servers, file servers, SAN, NAS, etc.) configured with non-RFC 1918/4193 (i.e., publicly routable) IP addresses?*</v>
      </c>
      <c r="C147" s="45" t="str">
        <f>VLOOKUP($A147,Product!$A$13:$E$61,3,0)&amp;""</f>
        <v>No</v>
      </c>
      <c r="D147" s="34" t="str">
        <f>IF(LEFT(VLOOKUP($A147,Product!$A$13:$E$61,5,0),21)='Auto Responses'!$A$32,'Auto Responses'!$A$33,VLOOKUP($A147,Product!$A$13:$E$61,4,0))&amp;""</f>
        <v>Institutional data is not stored on devices configured with publicly routable IP addresses. All Cursive AWS resources storing institutional data (S3 buckets, RDS instances, EKS pods) reside within private subnets in a Cursive-managed VPC using RFC 1918 private address space. Public access is mediated through AWS Application Load Balancers, AWS API Gateway, and AWS CloudFront with strict security group and IAM policy enforcement. S3 buckets containing institutional data have public access blocked at the account and bucket level. No database server, file server, or storage device containing institutional data is directly addressable from the public internet.</v>
      </c>
      <c r="E147" s="330" t="str">
        <f>VLOOKUP($A147,Product!$A$13:$E$61,5,0)&amp;""</f>
        <v/>
      </c>
      <c r="F147" s="195"/>
      <c r="G147" s="30" t="str">
        <f>VLOOKUP($A147,Questions!$A$2:$X$333,21,0)&amp;""</f>
        <v>No</v>
      </c>
      <c r="H147" s="185"/>
      <c r="I147" s="45" t="str">
        <f>VLOOKUP($A147,Questions!$A$2:$X$333,23,0)&amp;""</f>
        <v>Critical Importance</v>
      </c>
      <c r="J147" s="185"/>
      <c r="K147" s="48" t="b">
        <v>0</v>
      </c>
      <c r="L147" s="1"/>
    </row>
    <row r="148" spans="1:12" s="29" customFormat="1" ht="409.6" x14ac:dyDescent="0.25">
      <c r="A148" s="19" t="str">
        <f>Product!$A$40</f>
        <v>DATA-02</v>
      </c>
      <c r="B148" s="20" t="str">
        <f>VLOOKUP($A148,Product!$A$13:$E$61,2,0)&amp;""</f>
        <v>Is the transport of sensitive data encrypted using security protocols/algorithms (e.g., system-to-client)?*</v>
      </c>
      <c r="C148" s="45" t="str">
        <f>VLOOKUP($A148,Product!$A$13:$E$61,3,0)&amp;""</f>
        <v>Yes</v>
      </c>
      <c r="D148" s="34" t="str">
        <f>IF(LEFT(VLOOKUP($A148,Product!$A$13:$E$61,5,0),21)='Auto Responses'!$A$32,'Auto Responses'!$A$33,VLOOKUP($A148,Product!$A$13:$E$61,4,0))&amp;""</f>
        <v>All transport of sensitive data is encrypted using TLS 1.2 or higher with industry-standard cipher suites. This applies to: (1) client-to-server traffic (browser extension, Moodle plugin, LTI tool to Cursive API); (2) server-to-server traffic within AWS (between EKS, RDS, S3, KMS, and other AWS services); (3) administrative access to AWS Console, GitHub, and other internal tools. TLS configuration follows AWS recommended baselines and is regularly reviewed for cipher suite hardening. Plaintext transport of institutional data is not permitted at any layer.</v>
      </c>
      <c r="E148" s="330" t="str">
        <f>VLOOKUP($A148,Product!$A$13:$E$61,5,0)&amp;""</f>
        <v>Summarize your transport encryption strategy.</v>
      </c>
      <c r="F148" s="195"/>
      <c r="G148" s="30" t="str">
        <f>VLOOKUP($A148,Questions!$A$2:$X$333,21,0)&amp;""</f>
        <v>Yes</v>
      </c>
      <c r="H148" s="185"/>
      <c r="I148" s="45" t="str">
        <f>VLOOKUP($A148,Questions!$A$2:$X$333,23,0)&amp;""</f>
        <v>Critical Importance</v>
      </c>
      <c r="J148" s="185"/>
      <c r="K148" s="48" t="b">
        <v>0</v>
      </c>
      <c r="L148" s="1"/>
    </row>
    <row r="149" spans="1:12" s="29" customFormat="1" ht="409.6" x14ac:dyDescent="0.25">
      <c r="A149" s="19" t="str">
        <f>Product!$A$41</f>
        <v>DATA-03</v>
      </c>
      <c r="B149" s="20" t="str">
        <f>VLOOKUP($A149,Product!$A$13:$E$61,2,0)&amp;""</f>
        <v>Is the storage of sensitive data encrypted using security protocols/algorithms (e.g., disk encryption, at-rest, files, and within a running database)?*</v>
      </c>
      <c r="C149" s="45" t="str">
        <f>VLOOKUP($A149,Product!$A$13:$E$61,3,0)&amp;""</f>
        <v>Yes</v>
      </c>
      <c r="D149" s="34" t="str">
        <f>IF(LEFT(VLOOKUP($A149,Product!$A$13:$E$61,5,0),21)='Auto Responses'!$A$32,'Auto Responses'!$A$33,VLOOKUP($A149,Product!$A$13:$E$61,4,0))&amp;""</f>
        <v>All storage of sensitive data is encrypted at rest using AES-256 encryption (CNSA-approved). AWS-managed services apply encryption at multiple layers: S3 server-side encryption with AWS KMS-managed keys, RDS encryption at rest with KMS, EBS volume encryption, and KMS encryption for EKS secrets. Encryption keys are managed through AWS Key Management Service (AWS KMS) with HSM-backed key storage. Encryption applies to running databases, file storage, archival storage, and backup copies.</v>
      </c>
      <c r="E149" s="330" t="str">
        <f>VLOOKUP($A149,Product!$A$13:$E$61,5,0)&amp;""</f>
        <v>Summarize your data encryption strategy and state what encryption options are available.</v>
      </c>
      <c r="F149" s="195"/>
      <c r="G149" s="30" t="str">
        <f>VLOOKUP($A149,Questions!$A$2:$X$333,21,0)&amp;""</f>
        <v>Yes</v>
      </c>
      <c r="H149" s="185"/>
      <c r="I149" s="45" t="str">
        <f>VLOOKUP($A149,Questions!$A$2:$X$333,23,0)&amp;""</f>
        <v>Critical Importance</v>
      </c>
      <c r="J149" s="185"/>
      <c r="K149" s="48" t="b">
        <v>0</v>
      </c>
      <c r="L149" s="1"/>
    </row>
    <row r="150" spans="1:12" s="29" customFormat="1" ht="409.6" x14ac:dyDescent="0.25">
      <c r="A150" s="19" t="str">
        <f>Product!$A$42</f>
        <v>DATA-04</v>
      </c>
      <c r="B150" s="20" t="str">
        <f>VLOOKUP($A150,Product!$A$13:$E$61,2,0)&amp;""</f>
        <v>Do all cryptographic modules in use in your solution conform to the Federal Information Processing Standards (FIPS PUB 140-2 or 140-3)?*</v>
      </c>
      <c r="C150" s="45" t="str">
        <f>VLOOKUP($A150,Product!$A$13:$E$61,3,0)&amp;""</f>
        <v>Yes</v>
      </c>
      <c r="D150" s="34" t="str">
        <f>IF(LEFT(VLOOKUP($A150,Product!$A$13:$E$61,5,0),21)='Auto Responses'!$A$32,'Auto Responses'!$A$33,VLOOKUP($A150,Product!$A$13:$E$61,4,0))&amp;""</f>
        <v xml:space="preserve">Cryptographic modules in use throughout Cursive's AWS environment conform to FIPS 140-2 / 140-3 standards. AWS Key Management Service (KMS) operates on FIPS 140-2 Level 3 validated hardware security modules. AWS CloudHSM (available on-demand for institutional engagements requiring stricter key custody) provides FIPS 140-2 Level 3 dedicated HSMs. TLS implementations across AWS services use FIPS-validated cryptographic modules. Cursive inherits FIPS-validated cryptographic infrastructure from AWS-managed services rather than maintaining separate cryptographic modules. AWS FIPS endpoints can be used where institutional contracts require explicit FIPS endpoint enforcement.
</v>
      </c>
      <c r="E150" s="330" t="str">
        <f>VLOOKUP($A150,Product!$A$13:$E$61,5,0)&amp;""</f>
        <v>Provide reference to FIPS 140-3 validation certificates.</v>
      </c>
      <c r="F150" s="195"/>
      <c r="G150" s="30" t="str">
        <f>VLOOKUP($A150,Questions!$A$2:$X$333,21,0)&amp;""</f>
        <v>Yes</v>
      </c>
      <c r="H150" s="185"/>
      <c r="I150" s="45" t="str">
        <f>VLOOKUP($A150,Questions!$A$2:$X$333,23,0)&amp;""</f>
        <v>Critical Importance</v>
      </c>
      <c r="J150" s="185"/>
      <c r="K150" s="48" t="b">
        <v>0</v>
      </c>
      <c r="L150" s="1"/>
    </row>
    <row r="151" spans="1:12" s="29" customFormat="1" ht="409.6" x14ac:dyDescent="0.25">
      <c r="A151" s="19" t="str">
        <f>Product!$A$43</f>
        <v>DATA-05</v>
      </c>
      <c r="B151" s="20" t="str">
        <f>VLOOKUP($A151,Product!$A$13:$E$61,2,0)&amp;""</f>
        <v>Will the institution's data be available within the system for a period of time at the completion of this contract?*</v>
      </c>
      <c r="C151" s="45" t="str">
        <f>VLOOKUP($A151,Product!$A$13:$E$61,3,0)&amp;""</f>
        <v>Yes</v>
      </c>
      <c r="D151" s="34" t="str">
        <f>IF(LEFT(VLOOKUP($A151,Product!$A$13:$E$61,5,0),21)='Auto Responses'!$A$32,'Auto Responses'!$A$33,VLOOKUP($A151,Product!$A$13:$E$61,4,0))&amp;""</f>
        <v>At the completion of an institutional contract, institutional data remains accessible within the system for a defined wind-down period to support data export, migration, and audit. Standard wind-down period: 90 days from contract end date, during which the institution can extract data through the institutional LMS (where most institutional data resides) and request export of any Cursive-side data (authorship payloads, audit logs scoped to the institution). Specific retention periods at contract end can be negotiated as part of the master services agreement. After the wind-down period, institutional data is deleted from Cursive's systems per the data deletion procedures in the Cursive Policies and Procedures.</v>
      </c>
      <c r="E151" s="330" t="str">
        <f>VLOOKUP($A151,Product!$A$13:$E$61,5,0)&amp;""</f>
        <v>State the length of time that the institution's data will be available in the system at the completion of the contract.</v>
      </c>
      <c r="F151" s="195"/>
      <c r="G151" s="30" t="str">
        <f>VLOOKUP($A151,Questions!$A$2:$X$333,21,0)&amp;""</f>
        <v>Yes</v>
      </c>
      <c r="H151" s="185"/>
      <c r="I151" s="45" t="str">
        <f>VLOOKUP($A151,Questions!$A$2:$X$333,23,0)&amp;""</f>
        <v>Critical Importance</v>
      </c>
      <c r="J151" s="185"/>
      <c r="K151" s="48" t="b">
        <v>0</v>
      </c>
      <c r="L151" s="1"/>
    </row>
    <row r="152" spans="1:12" s="29" customFormat="1" ht="409.6" x14ac:dyDescent="0.25">
      <c r="A152" s="19" t="str">
        <f>Product!$A$44</f>
        <v>DATA-06</v>
      </c>
      <c r="B152" s="20" t="str">
        <f>VLOOKUP($A152,Product!$A$13:$E$61,2,0)&amp;""</f>
        <v>Are ownership rights to all data, inputs, outputs, and metadata retained even through a provider acquisition or bankruptcy event?*</v>
      </c>
      <c r="C152" s="45" t="str">
        <f>VLOOKUP($A152,Product!$A$13:$E$61,3,0)&amp;""</f>
        <v>Yes</v>
      </c>
      <c r="D152" s="34" t="str">
        <f>IF(LEFT(VLOOKUP($A152,Product!$A$13:$E$61,5,0),21)='Auto Responses'!$A$32,'Auto Responses'!$A$33,VLOOKUP($A152,Product!$A$13:$E$61,4,0))&amp;""</f>
        <v>Ownership rights to institutional data, inputs, outputs, and metadata remain with the institution at all times, including in the event of Cursive Technology, Inc. acquisition, merger, or bankruptcy. The master services agreement and any applicable Data Processing Agreement specify that institutional data is owned by the institution and that Cursive holds the data in a fiduciary capacity. Provisions for institutional data return and deletion in the event of provider business changes are documented and survive termination of the agreement.</v>
      </c>
      <c r="E152" s="330" t="str">
        <f>VLOOKUP($A152,Product!$A$13:$E$61,5,0)&amp;""</f>
        <v>Provide references, as needed.</v>
      </c>
      <c r="F152" s="195"/>
      <c r="G152" s="30" t="str">
        <f>VLOOKUP($A152,Questions!$A$2:$X$333,21,0)&amp;""</f>
        <v>Yes</v>
      </c>
      <c r="H152" s="185"/>
      <c r="I152" s="45" t="str">
        <f>VLOOKUP($A152,Questions!$A$2:$X$333,23,0)&amp;""</f>
        <v>Critical Importance</v>
      </c>
      <c r="J152" s="185"/>
      <c r="K152" s="48" t="b">
        <v>0</v>
      </c>
      <c r="L152" s="1"/>
    </row>
    <row r="153" spans="1:12" s="29" customFormat="1" ht="409.6" x14ac:dyDescent="0.25">
      <c r="A153" s="19" t="str">
        <f>Product!$A$45</f>
        <v>DATA-07</v>
      </c>
      <c r="B153" s="20" t="str">
        <f>VLOOKUP($A153,Product!$A$13:$E$61,2,0)&amp;""</f>
        <v>Do backups containing the institution's data ever leave the institution's data zone either physically or via network routing?*</v>
      </c>
      <c r="C153" s="45" t="str">
        <f>VLOOKUP($A153,Product!$A$13:$E$61,3,0)&amp;""</f>
        <v>No</v>
      </c>
      <c r="D153" s="34" t="str">
        <f>IF(LEFT(VLOOKUP($A153,Product!$A$13:$E$61,5,0),21)='Auto Responses'!$A$32,'Auto Responses'!$A$33,VLOOKUP($A153,Product!$A$13:$E$61,4,0))&amp;""</f>
        <v>Institutional data does not leave the institution's designated data zone (AWS US-East-1, N. Virginia) through backups or network routing. Backups are stored within the same AWS region using cross-AZ replication for durability and disaster recovery. No backup copies are routed to other AWS regions, transferred to off-AWS storage, or otherwise leave the US-East-1 region without explicit institutional authorization. Where institutional contracts specify alternate regional storage (e.g., for GDPR or PIPL compliance), backup configuration follows the same regional constraint as primary storage.</v>
      </c>
      <c r="E153" s="330" t="str">
        <f>VLOOKUP($A153,Product!$A$13:$E$61,5,0)&amp;""</f>
        <v/>
      </c>
      <c r="F153" s="195"/>
      <c r="G153" s="30" t="str">
        <f>VLOOKUP($A153,Questions!$A$2:$X$333,21,0)&amp;""</f>
        <v>No</v>
      </c>
      <c r="H153" s="185"/>
      <c r="I153" s="45" t="str">
        <f>VLOOKUP($A153,Questions!$A$2:$X$333,23,0)&amp;""</f>
        <v>Critical Importance</v>
      </c>
      <c r="J153" s="185"/>
      <c r="K153" s="48" t="b">
        <v>0</v>
      </c>
      <c r="L153" s="1"/>
    </row>
    <row r="154" spans="1:12" s="29" customFormat="1" ht="405" x14ac:dyDescent="0.25">
      <c r="A154" s="19" t="str">
        <f>Product!$A$46</f>
        <v>DATA-08</v>
      </c>
      <c r="B154" s="20" t="str">
        <f>VLOOKUP($A154,Product!$A$13:$E$61,2,0)&amp;""</f>
        <v>Is media used for long-term retention of business data and archival purposes stored in a secure, environmentally protected area?*</v>
      </c>
      <c r="C154" s="45" t="str">
        <f>VLOOKUP($A154,Product!$A$13:$E$61,3,0)&amp;""</f>
        <v>Yes</v>
      </c>
      <c r="D154" s="34" t="str">
        <f>IF(LEFT(VLOOKUP($A154,Product!$A$13:$E$61,5,0),21)='Auto Responses'!$A$32,'Auto Responses'!$A$33,VLOOKUP($A154,Product!$A$13:$E$61,4,0))&amp;""</f>
        <v>Long-term retention and archival storage of business data uses AWS S3. AWS data centers provide environmental protections (climate control, fire suppression, redundant power, physical access controls). Archived data inherits the same encryption (AES-256, KMS-managed keys), access controls (IAM least-privilege), and immutability protections as production data. Cursive does not maintain physical media for long-term retention; all archival storage is digital within AWS.</v>
      </c>
      <c r="E154" s="330" t="str">
        <f>VLOOKUP($A154,Product!$A$13:$E$61,5,0)&amp;""</f>
        <v>Provide a general summary of your archival environment.</v>
      </c>
      <c r="F154" s="195"/>
      <c r="G154" s="30" t="str">
        <f>VLOOKUP($A154,Questions!$A$2:$X$333,21,0)&amp;""</f>
        <v>Yes</v>
      </c>
      <c r="H154" s="185"/>
      <c r="I154" s="45" t="str">
        <f>VLOOKUP($A154,Questions!$A$2:$X$333,23,0)&amp;""</f>
        <v>Critical Importance</v>
      </c>
      <c r="J154" s="185"/>
      <c r="K154" s="48" t="b">
        <v>0</v>
      </c>
      <c r="L154" s="1"/>
    </row>
    <row r="155" spans="1:12" s="29" customFormat="1" ht="409.6" x14ac:dyDescent="0.25">
      <c r="A155" s="19" t="str">
        <f>Product!$A$47</f>
        <v>DATA-09</v>
      </c>
      <c r="B155" s="20" t="str">
        <f>VLOOKUP($A155,Product!$A$13:$E$61,2,0)&amp;""</f>
        <v>At the completion of this contract, will data be returned to the institution and/or deleted from all your systems and archives?</v>
      </c>
      <c r="C155" s="45" t="str">
        <f>VLOOKUP($A155,Product!$A$13:$E$61,3,0)&amp;""</f>
        <v>Yes</v>
      </c>
      <c r="D155" s="34" t="str">
        <f>IF(LEFT(VLOOKUP($A155,Product!$A$13:$E$61,5,0),21)='Auto Responses'!$A$32,'Auto Responses'!$A$33,VLOOKUP($A155,Product!$A$13:$E$61,4,0))&amp;""</f>
        <v>At the completion of an institutional contract, data is either returned to the institution (via standard export channels — most institutional data already resides in the institution's own LMS) or deleted from Cursive's systems per the data deletion procedures in the Cursive Policies and Procedures. Standard practice: 90-day wind-down for data extraction,  followed by hard deletion from production systems and from backups within the next backup retention cycle. A deletion certification can be provided on institutional request, documenting the date of deletion and the systems from which data was deleted.</v>
      </c>
      <c r="E155" s="330" t="str">
        <f>VLOOKUP($A155,Product!$A$13:$E$61,5,0)&amp;""</f>
        <v>State the length of time that the institution's data will be available in the system at the completion of the contract.</v>
      </c>
      <c r="F155" s="195"/>
      <c r="G155" s="30" t="str">
        <f>VLOOKUP($A155,Questions!$A$2:$X$333,21,0)&amp;""</f>
        <v>Yes</v>
      </c>
      <c r="H155" s="185"/>
      <c r="I155" s="45" t="str">
        <f>VLOOKUP($A155,Questions!$A$2:$X$333,23,0)&amp;""</f>
        <v>Standard Importance</v>
      </c>
      <c r="J155" s="185"/>
      <c r="K155" s="48" t="b">
        <v>0</v>
      </c>
      <c r="L155" s="1"/>
    </row>
    <row r="156" spans="1:12" s="29" customFormat="1" ht="409.6" x14ac:dyDescent="0.25">
      <c r="A156" s="19" t="str">
        <f>Product!$A$48</f>
        <v>DATA-10</v>
      </c>
      <c r="B156" s="20" t="str">
        <f>VLOOKUP($A156,Product!$A$13:$E$61,2,0)&amp;""</f>
        <v>Can the institution extract a full or partial backup of data?</v>
      </c>
      <c r="C156" s="45" t="str">
        <f>VLOOKUP($A156,Product!$A$13:$E$61,3,0)&amp;""</f>
        <v>Yes</v>
      </c>
      <c r="D156" s="34" t="str">
        <f>IF(LEFT(VLOOKUP($A156,Product!$A$13:$E$61,5,0),21)='Auto Responses'!$A$32,'Auto Responses'!$A$33,VLOOKUP($A156,Product!$A$13:$E$61,4,0))&amp;""</f>
        <v>Institutional customers can extract a full or partial backup of data through several mechanisms: (1) Direct extraction from the institutional LMS (Moodle), where most institutional data resides — Moodle's native data export and reporting capabilities apply; (2) Cursive-side data export on institutional request, providing the authorship payloads, audit logs, and other Cursive-stored data scoped to the institution's tenant in standard formats (JSON or CSV); (3) Browser-extension users can extract or delete their own locally-stored data through the extension UI.</v>
      </c>
      <c r="E156" s="330" t="str">
        <f>VLOOKUP($A156,Product!$A$13:$E$61,5,0)&amp;""</f>
        <v>Provide a general summary of how full and partial backups of data can be extracted.</v>
      </c>
      <c r="F156" s="195"/>
      <c r="G156" s="30" t="str">
        <f>VLOOKUP($A156,Questions!$A$2:$X$333,21,0)&amp;""</f>
        <v>Yes</v>
      </c>
      <c r="H156" s="185"/>
      <c r="I156" s="45" t="str">
        <f>VLOOKUP($A156,Questions!$A$2:$X$333,23,0)&amp;""</f>
        <v>Standard Importance</v>
      </c>
      <c r="J156" s="185"/>
      <c r="K156" s="48" t="b">
        <v>0</v>
      </c>
      <c r="L156" s="1"/>
    </row>
    <row r="157" spans="1:12" s="29" customFormat="1" ht="409.6" x14ac:dyDescent="0.25">
      <c r="A157" s="19" t="str">
        <f>Product!$A$49</f>
        <v>DATA-11</v>
      </c>
      <c r="B157" s="20" t="str">
        <f>VLOOKUP($A157,Product!$A$13:$E$61,2,0)&amp;""</f>
        <v>Do current backups include all operating system software, utilities, security software, application software, and data files necessary for recovery?</v>
      </c>
      <c r="C157" s="45" t="str">
        <f>VLOOKUP($A157,Product!$A$13:$E$61,3,0)&amp;""</f>
        <v>Yes</v>
      </c>
      <c r="D157" s="34" t="str">
        <f>IF(LEFT(VLOOKUP($A157,Product!$A$13:$E$61,5,0),21)='Auto Responses'!$A$32,'Auto Responses'!$A$33,VLOOKUP($A157,Product!$A$13:$E$61,4,0))&amp;""</f>
        <v>Backups include all components necessary for service recovery: AWS RDS automated backups capture database state including schema, data, and configuration; AWS S3 versioning preserves object-level history for institutional data; EKS deployments are managed via Infrastructure as Code (CloudFormation / Terraform under the EKS rebuild) with backed-up configuration; application code is preserved in GitHub with full version history. Together these enable full recovery of operating system state, security configuration, application code, and data files.</v>
      </c>
      <c r="E157" s="330" t="str">
        <f>VLOOKUP($A157,Product!$A$13:$E$61,5,0)&amp;""</f>
        <v>Describe your overall strategy to accomplish these elements.</v>
      </c>
      <c r="F157" s="195"/>
      <c r="G157" s="30" t="str">
        <f>VLOOKUP($A157,Questions!$A$2:$X$333,21,0)&amp;""</f>
        <v>Yes</v>
      </c>
      <c r="H157" s="185"/>
      <c r="I157" s="45" t="str">
        <f>VLOOKUP($A157,Questions!$A$2:$X$333,23,0)&amp;""</f>
        <v>Standard Importance</v>
      </c>
      <c r="J157" s="185"/>
      <c r="K157" s="48" t="b">
        <v>0</v>
      </c>
      <c r="L157" s="1"/>
    </row>
    <row r="158" spans="1:12" s="29" customFormat="1" ht="324" x14ac:dyDescent="0.25">
      <c r="A158" s="19" t="str">
        <f>Product!$A$50</f>
        <v>DATA-12</v>
      </c>
      <c r="B158" s="20" t="str">
        <f>VLOOKUP($A158,Product!$A$13:$E$61,2,0)&amp;""</f>
        <v>Are you performing off-site backups (i.e., digitally moved off site)?</v>
      </c>
      <c r="C158" s="45" t="str">
        <f>VLOOKUP($A158,Product!$A$13:$E$61,3,0)&amp;""</f>
        <v>Yes</v>
      </c>
      <c r="D158" s="34" t="str">
        <f>IF(LEFT(VLOOKUP($A158,Product!$A$13:$E$61,5,0),21)='Auto Responses'!$A$32,'Auto Responses'!$A$33,VLOOKUP($A158,Product!$A$13:$E$61,4,0))&amp;""</f>
        <v>Off-site (digital) backups are performed through AWS-managed cross-AZ replication and S3 versioning. Backup data resides in physically separate AWS Availability Zones within the US-East-1 region, providing geographic separation from primary storage while remaining within the institution's contracted data zone. AWS Backup service provides additional point-in-time backup capabilities for AWS-managed services.</v>
      </c>
      <c r="E158" s="330" t="str">
        <f>VLOOKUP($A158,Product!$A$13:$E$61,5,0)&amp;""</f>
        <v>Summarize your off-site backup strategy.</v>
      </c>
      <c r="F158" s="195"/>
      <c r="G158" s="30" t="str">
        <f>VLOOKUP($A158,Questions!$A$2:$X$333,21,0)&amp;""</f>
        <v>Yes</v>
      </c>
      <c r="H158" s="185"/>
      <c r="I158" s="45" t="str">
        <f>VLOOKUP($A158,Questions!$A$2:$X$333,23,0)&amp;""</f>
        <v>Standard Importance</v>
      </c>
      <c r="J158" s="185"/>
      <c r="K158" s="48" t="b">
        <v>0</v>
      </c>
      <c r="L158" s="1"/>
    </row>
    <row r="159" spans="1:12" s="29" customFormat="1" ht="194.4" x14ac:dyDescent="0.25">
      <c r="A159" s="19" t="str">
        <f>Product!$A$51</f>
        <v>DATA-13</v>
      </c>
      <c r="B159" s="20" t="str">
        <f>VLOOKUP($A159,Product!$A$13:$E$61,2,0)&amp;""</f>
        <v>Are physical backups taken off-site (i.e., physically moved off site)?</v>
      </c>
      <c r="C159" s="45" t="str">
        <f>VLOOKUP($A159,Product!$A$13:$E$61,3,0)&amp;""</f>
        <v>No</v>
      </c>
      <c r="D159" s="34" t="str">
        <f>IF(LEFT(VLOOKUP($A159,Product!$A$13:$E$61,5,0),21)='Auto Responses'!$A$32,'Auto Responses'!$A$33,VLOOKUP($A159,Product!$A$13:$E$61,4,0))&amp;""</f>
        <v>Cursive does not maintain physical backups of institutional data. All backups are digital and stored within AWS infrastructure. No physical media containing institutional data is created, transported, or stored off-site.</v>
      </c>
      <c r="E159" s="330" t="str">
        <f>VLOOKUP($A159,Product!$A$13:$E$61,5,0)&amp;""</f>
        <v>State any plans to implement off-site physical backups in your environment.</v>
      </c>
      <c r="F159" s="195"/>
      <c r="G159" s="30" t="str">
        <f>VLOOKUP($A159,Questions!$A$2:$X$333,21,0)&amp;""</f>
        <v>Yes</v>
      </c>
      <c r="H159" s="185"/>
      <c r="I159" s="45" t="str">
        <f>VLOOKUP($A159,Questions!$A$2:$X$333,23,0)&amp;""</f>
        <v>Standard Importance</v>
      </c>
      <c r="J159" s="185"/>
      <c r="K159" s="48" t="b">
        <v>0</v>
      </c>
      <c r="L159" s="1"/>
    </row>
    <row r="160" spans="1:12" s="29" customFormat="1" ht="324" x14ac:dyDescent="0.25">
      <c r="A160" s="19" t="str">
        <f>Product!$A$52</f>
        <v>DATA-14</v>
      </c>
      <c r="B160" s="20" t="str">
        <f>VLOOKUP($A160,Product!$A$13:$E$61,2,0)&amp;""</f>
        <v>Are data backups encrypted?</v>
      </c>
      <c r="C160" s="45" t="str">
        <f>VLOOKUP($A160,Product!$A$13:$E$61,3,0)&amp;""</f>
        <v>Yes</v>
      </c>
      <c r="D160" s="34" t="str">
        <f>IF(LEFT(VLOOKUP($A160,Product!$A$13:$E$61,5,0),21)='Auto Responses'!$A$32,'Auto Responses'!$A$33,VLOOKUP($A160,Product!$A$13:$E$61,4,0))&amp;""</f>
        <v>All backups are encrypted using AES-256 encryption with AWS KMS-managed keys (consistent with DATA-03). Encryption applies to AWS RDS automated backups, S3 cross-AZ replicas, EBS snapshots, and AWS Backup service vaults. Backup encryption keys are managed through the same KMS infrastructure as production encryption keys, with HSM-backed key storage and IAM-mediated access controls.</v>
      </c>
      <c r="E160" s="330" t="str">
        <f>VLOOKUP($A160,Product!$A$13:$E$61,5,0)&amp;""</f>
        <v>Summarize the encryption algorithm/strategy you are using to secure backups.</v>
      </c>
      <c r="F160" s="195"/>
      <c r="G160" s="30" t="str">
        <f>VLOOKUP($A160,Questions!$A$2:$X$333,21,0)&amp;""</f>
        <v>Yes</v>
      </c>
      <c r="H160" s="185"/>
      <c r="I160" s="45" t="str">
        <f>VLOOKUP($A160,Questions!$A$2:$X$333,23,0)&amp;""</f>
        <v>Minor Importance</v>
      </c>
      <c r="J160" s="185"/>
      <c r="K160" s="48" t="b">
        <v>0</v>
      </c>
      <c r="L160" s="1"/>
    </row>
    <row r="161" spans="1:12" s="29" customFormat="1" ht="409.6" x14ac:dyDescent="0.25">
      <c r="A161" s="19" t="str">
        <f>Product!$A$53</f>
        <v>DATA-15</v>
      </c>
      <c r="B161" s="20" t="str">
        <f>VLOOKUP($A161,Product!$A$13:$E$61,2,0)&amp;""</f>
        <v>Do you have a media handling process that is documented and currently implemented that meets established business needs and regulatory requirements, including end-of-life, repurposing, and data-sanitization procedures?</v>
      </c>
      <c r="C161" s="45" t="str">
        <f>VLOOKUP($A161,Product!$A$13:$E$61,3,0)&amp;""</f>
        <v>Yes</v>
      </c>
      <c r="D161" s="34" t="str">
        <f>IF(LEFT(VLOOKUP($A161,Product!$A$13:$E$61,5,0),21)='Auto Responses'!$A$32,'Auto Responses'!$A$33,VLOOKUP($A161,Product!$A$13:$E$61,4,0))&amp;""</f>
        <v xml:space="preserve">Cursive does not maintain physical media containing institutional data, so traditional media handling procedures (end-of-life, repurposing, data sanitization for physical storage) do not directly apply. For digital data lifecycle management, the Cursive Policies and Procedures (Data Removal/Disposal section) document deletion procedures including: (1) deletion from production AWS systems on contractual request or end-of-contract; (2) propagation of deletion to backup systems within the next backup retention cycle; (3) verification of deletion completion. AWS-managed physical media handling is inherited from AWS data center procedures, which conform to NIST SP 800-88 standards. Cursive does not have a separate physical media handling program because Cursive does not handle physical media containing institutional data.
</v>
      </c>
      <c r="E161" s="330" t="str">
        <f>VLOOKUP($A161,Product!$A$13:$E$61,5,0)&amp;""</f>
        <v>Provide documented details of this process (link or attached).</v>
      </c>
      <c r="F161" s="195"/>
      <c r="G161" s="30" t="str">
        <f>VLOOKUP($A161,Questions!$A$2:$X$333,21,0)&amp;""</f>
        <v>Yes</v>
      </c>
      <c r="H161" s="185"/>
      <c r="I161" s="45" t="str">
        <f>VLOOKUP($A161,Questions!$A$2:$X$333,23,0)&amp;""</f>
        <v>Standard Importance</v>
      </c>
      <c r="J161" s="185"/>
      <c r="K161" s="48" t="b">
        <v>0</v>
      </c>
      <c r="L161" s="1"/>
    </row>
    <row r="162" spans="1:12" s="29" customFormat="1" ht="388.8" x14ac:dyDescent="0.25">
      <c r="A162" s="19" t="str">
        <f>Product!$A$54</f>
        <v>DATA-16</v>
      </c>
      <c r="B162" s="20" t="str">
        <f>VLOOKUP($A162,Product!$A$13:$E$61,2,0)&amp;""</f>
        <v>Does the process described in DATA-15 adhere to DoD 5220.22-M and/or NIST SP 800-88 standards?</v>
      </c>
      <c r="C162" s="45" t="str">
        <f>VLOOKUP($A162,Product!$A$13:$E$61,3,0)&amp;""</f>
        <v>Yes</v>
      </c>
      <c r="D162" s="34" t="str">
        <f>IF(LEFT(VLOOKUP($A162,Product!$A$13:$E$61,5,0),21)='Auto Responses'!$A$32,'Auto Responses'!$A$33,VLOOKUP($A162,Product!$A$13:$E$61,4,0))&amp;""</f>
        <v>AWS data center physical media handling adheres to NIST SP 800-88 standards for media sanitization. AWS publishes detailed documentation on storage device decommissioning, including degaussing, physical destruction, and certified destruction processes for storage media containing customer data. Inherited from AWS infrastructure operations. Reference: AWS Compliance documentation and AWS data center physical security overview.</v>
      </c>
      <c r="E162" s="330" t="str">
        <f>VLOOKUP($A162,Product!$A$13:$E$61,5,0)&amp;""</f>
        <v/>
      </c>
      <c r="F162" s="195"/>
      <c r="G162" s="30" t="str">
        <f>VLOOKUP($A162,Questions!$A$2:$X$333,21,0)&amp;""</f>
        <v>Yes</v>
      </c>
      <c r="H162" s="185"/>
      <c r="I162" s="45" t="str">
        <f>VLOOKUP($A162,Questions!$A$2:$X$333,23,0)&amp;""</f>
        <v>Standard Importance</v>
      </c>
      <c r="J162" s="185"/>
      <c r="K162" s="48" t="b">
        <v>0</v>
      </c>
      <c r="L162" s="1"/>
    </row>
    <row r="163" spans="1:12" s="29" customFormat="1" ht="409.6" x14ac:dyDescent="0.25">
      <c r="A163" s="19" t="str">
        <f>Product!$A$55</f>
        <v>DATA-17</v>
      </c>
      <c r="B163" s="20" t="str">
        <f>VLOOKUP($A163,Product!$A$13:$E$61,2,0)&amp;""</f>
        <v>Does your staff (or third party) have access to institutional data (e.g., financial, PHI, or other sensitive information) through any means?</v>
      </c>
      <c r="C163" s="45" t="str">
        <f>VLOOKUP($A163,Product!$A$13:$E$61,3,0)&amp;""</f>
        <v>No</v>
      </c>
      <c r="D163" s="34" t="str">
        <f>IF(LEFT(VLOOKUP($A163,Product!$A$13:$E$61,5,0),21)='Auto Responses'!$A$32,'Auto Responses'!$A$33,VLOOKUP($A163,Product!$A$13:$E$61,4,0))&amp;""</f>
        <v xml:space="preserve">Cursive staff and subprocessors do not have standing access to institutional data. All access to AWS production environments is gated through IAM with least-privilege role scoping. Subprocessors (Brain-Station 23, AWS engineering contractor, Tech Worm LLC) have access to deploy code only and operate in non-production or staging environments by default; production data access is not part of their standing permission set. Cursive does not collect or store financial data, PHI, or other sensitive information beyond the writing process telemetry tied to opaque LMS-issued UUIDs.
</v>
      </c>
      <c r="E163" s="330" t="str">
        <f>VLOOKUP($A163,Product!$A$13:$E$61,5,0)&amp;""</f>
        <v/>
      </c>
      <c r="F163" s="195"/>
      <c r="G163" s="30" t="str">
        <f>VLOOKUP($A163,Questions!$A$2:$X$333,21,0)&amp;""</f>
        <v>No</v>
      </c>
      <c r="H163" s="185"/>
      <c r="I163" s="45" t="str">
        <f>VLOOKUP($A163,Questions!$A$2:$X$333,23,0)&amp;""</f>
        <v>Standard Importance</v>
      </c>
      <c r="J163" s="185"/>
      <c r="K163" s="48" t="b">
        <v>0</v>
      </c>
      <c r="L163" s="1"/>
    </row>
    <row r="164" spans="1:12" s="29" customFormat="1" ht="409.6" x14ac:dyDescent="0.25">
      <c r="A164" s="19" t="str">
        <f>Product!$A$56</f>
        <v>DATA-18</v>
      </c>
      <c r="B164" s="20" t="str">
        <f>VLOOKUP($A164,Product!$A$13:$E$61,2,0)&amp;""</f>
        <v>Do you have a documented and currently implemented strategy for securing employee workstations when they work remotely (i.e., not in a trusted computing environment)?</v>
      </c>
      <c r="C164" s="45" t="str">
        <f>VLOOKUP($A164,Product!$A$13:$E$61,3,0)&amp;""</f>
        <v>Yes</v>
      </c>
      <c r="D164" s="34" t="str">
        <f>IF(LEFT(VLOOKUP($A164,Product!$A$13:$E$61,5,0),21)='Auto Responses'!$A$32,'Auto Responses'!$A$33,VLOOKUP($A164,Product!$A$13:$E$61,4,0))&amp;""</f>
        <v>Cursive maintains a documented strategy for securing employee workstations in remote work environments per the Cursive Policies and Procedures (Endpoint Protection section):
Endpoint protection: Windows Defender / Windows Security at minimum, with commercial alternatives accepted for non-Windows devices.
Email protection by Cursive TypeID security (continuous-authentication-based attestation).
Bitwarden password management for all staff credentials, with MFA enforcement on the Bitwarden vault.
MFA enforced on all internal Cursive systems (AWS, GitHub, Linear, Google Workspace).
No standing access to production institutional data from any workstation; production access requires IAM-mediated authentication for each session.
Workstation operating systems and security software maintained at supported versions.
Annual privacy and security awareness training (KnowBe4 + FERPA 201) for all staff.</v>
      </c>
      <c r="E164" s="330" t="str">
        <f>VLOOKUP($A164,Product!$A$13:$E$61,5,0)&amp;""</f>
        <v>Provide a detailed summary outlining the security controls implemented to protect the institution's data.</v>
      </c>
      <c r="F164" s="195"/>
      <c r="G164" s="30" t="str">
        <f>VLOOKUP($A164,Questions!$A$2:$X$333,21,0)&amp;""</f>
        <v>Yes</v>
      </c>
      <c r="H164" s="185"/>
      <c r="I164" s="45" t="str">
        <f>VLOOKUP($A164,Questions!$A$2:$X$333,23,0)&amp;""</f>
        <v>Standard Importance</v>
      </c>
      <c r="J164" s="185"/>
      <c r="K164" s="48" t="b">
        <v>0</v>
      </c>
      <c r="L164" s="1"/>
    </row>
    <row r="165" spans="1:12" s="29" customFormat="1" ht="409.6" x14ac:dyDescent="0.25">
      <c r="A165" s="19" t="str">
        <f>Product!$A$57</f>
        <v>DATA-19</v>
      </c>
      <c r="B165" s="20" t="str">
        <f>VLOOKUP($A165,Product!$A$13:$E$61,2,0)&amp;""</f>
        <v>Does the environment provide for dedicated single-tenant capabilities? If not, describe how your solution or environment separates data from different customers (e.g., logically, physically, single tenancy, multi-tenancy).</v>
      </c>
      <c r="C165" s="45" t="str">
        <f>VLOOKUP($A165,Product!$A$13:$E$61,3,0)&amp;""</f>
        <v>Yes</v>
      </c>
      <c r="D165" s="34" t="str">
        <f>IF(LEFT(VLOOKUP($A165,Product!$A$13:$E$61,5,0),21)='Auto Responses'!$A$32,'Auto Responses'!$A$33,VLOOKUP($A165,Product!$A$13:$E$61,4,0))&amp;""</f>
        <v>Cursive's environment supports both single-tenant and multi-tenant data isolation:
Single-tenant capability: Dedicated single-tenant environments can be provisioned on institutional request, providing physically separated AWS resources (dedicated RDS instances, dedicated S3 buckets, dedicated KMS keys) for the institution.
Default multi-tenant isolation: In the standard multi-tenant configuration, institutional data is logically isolated through tenant tagging (each record tagged by source institution, user UUID, resource ID, and secure token), partitioned storage (institutional data stored in tenant-scoped namespaces within shared infrastructure), and IAM-mediated access controls (queries scoped to the requesting institution's tenant). Cross-tenant data access is prevented at the application layer through tenant-scoped query enforcement and at the infrastructure layer through IAM policies that scope access to tenant-specific resource patterns. The processing model means there is no shared inference state between institutions — each inference operates on the requesting institution's data only.</v>
      </c>
      <c r="E165" s="330" t="str">
        <f>VLOOKUP($A165,Product!$A$13:$E$61,5,0)&amp;""</f>
        <v>Describe or provide a reference to how institution data is separated from that of other customers.</v>
      </c>
      <c r="F165" s="195"/>
      <c r="G165" s="30" t="str">
        <f>VLOOKUP($A165,Questions!$A$2:$X$333,21,0)&amp;""</f>
        <v>Yes</v>
      </c>
      <c r="H165" s="185"/>
      <c r="I165" s="45" t="str">
        <f>VLOOKUP($A165,Questions!$A$2:$X$333,23,0)&amp;""</f>
        <v>Minor Importance</v>
      </c>
      <c r="J165" s="185"/>
      <c r="K165" s="48" t="b">
        <v>0</v>
      </c>
      <c r="L165" s="1"/>
    </row>
    <row r="166" spans="1:12" s="29" customFormat="1" ht="324" x14ac:dyDescent="0.25">
      <c r="A166" s="19" t="str">
        <f>Product!$A$58</f>
        <v>DATA-20</v>
      </c>
      <c r="B166" s="20" t="str">
        <f>VLOOKUP($A166,Product!$A$13:$E$61,2,0)&amp;""</f>
        <v>Are ownership rights to all data, inputs, outputs, and metadata retained by the institution?</v>
      </c>
      <c r="C166" s="45" t="str">
        <f>VLOOKUP($A166,Product!$A$13:$E$61,3,0)&amp;""</f>
        <v>Yes</v>
      </c>
      <c r="D166" s="34" t="str">
        <f>IF(LEFT(VLOOKUP($A166,Product!$A$13:$E$61,5,0),21)='Auto Responses'!$A$32,'Auto Responses'!$A$33,VLOOKUP($A166,Product!$A$13:$E$61,4,0))&amp;""</f>
        <v xml:space="preserve">Ownership rights to all data, inputs, outputs, and metadata are retained by the institution at all times. Cursive operates as a processor / school official acting on behalf of the institution; Cursive does not claim ownership rights over institutional data, derivative outputs (authorship payloads), or metadata. This is documented in the master services agreement and applicable Data Processing Agreement. </v>
      </c>
      <c r="E166" s="330" t="str">
        <f>VLOOKUP($A166,Product!$A$13:$E$61,5,0)&amp;""</f>
        <v>Provide reference to your data ownership documentation.</v>
      </c>
      <c r="F166" s="195"/>
      <c r="G166" s="30" t="str">
        <f>VLOOKUP($A166,Questions!$A$2:$X$333,21,0)&amp;""</f>
        <v>Yes</v>
      </c>
      <c r="H166" s="185"/>
      <c r="I166" s="45" t="str">
        <f>VLOOKUP($A166,Questions!$A$2:$X$333,23,0)&amp;""</f>
        <v>Minor Importance</v>
      </c>
      <c r="J166" s="185"/>
      <c r="K166" s="48" t="b">
        <v>0</v>
      </c>
      <c r="L166" s="1"/>
    </row>
    <row r="167" spans="1:12" s="29" customFormat="1" ht="409.6" x14ac:dyDescent="0.25">
      <c r="A167" s="19" t="str">
        <f>Product!$A$59</f>
        <v>DATA-21</v>
      </c>
      <c r="B167" s="20" t="str">
        <f>VLOOKUP($A167,Product!$A$13:$E$61,2,0)&amp;""</f>
        <v>In the event of imminent bankruptcy, closing of business, or retirement of service, will you provide 90 days for customers to get their data out of the system and migrate applications?</v>
      </c>
      <c r="C167" s="45" t="str">
        <f>VLOOKUP($A167,Product!$A$13:$E$61,3,0)&amp;""</f>
        <v>Yes</v>
      </c>
      <c r="D167" s="34" t="str">
        <f>IF(LEFT(VLOOKUP($A167,Product!$A$13:$E$61,5,0),21)='Auto Responses'!$A$32,'Auto Responses'!$A$33,VLOOKUP($A167,Product!$A$13:$E$61,4,0))&amp;""</f>
        <v xml:space="preserve">In the event of imminent bankruptcy, closing of business, or service retirement, Cursive commits to providing institutional customers with at least 90 days to extract data and migrate to alternative solutions. This commitment is documented in the master services agreement. Practical extraction is supported through the data export mechanisms (institutional LMS export, Cursive-side export on request). For the worst-case scenario where Cursive personnel are unavailable to support extraction, institutional data residing in the institution's own LMS (Moodle) is unaffected by Cursive's status — the institution retains full access to all data stored at the LMS layer regardless of Cursive's operational status.
</v>
      </c>
      <c r="E167" s="330" t="str">
        <f>VLOOKUP($A167,Product!$A$13:$E$61,5,0)&amp;""</f>
        <v>State how the institution will be notified of imminent termination.</v>
      </c>
      <c r="F167" s="195"/>
      <c r="G167" s="30" t="str">
        <f>VLOOKUP($A167,Questions!$A$2:$X$333,21,0)&amp;""</f>
        <v>Yes</v>
      </c>
      <c r="H167" s="185"/>
      <c r="I167" s="45" t="str">
        <f>VLOOKUP($A167,Questions!$A$2:$X$333,23,0)&amp;""</f>
        <v>Minor Importance</v>
      </c>
      <c r="J167" s="185"/>
      <c r="K167" s="48" t="b">
        <v>0</v>
      </c>
      <c r="L167" s="1"/>
    </row>
    <row r="168" spans="1:12" s="29" customFormat="1" ht="409.6" x14ac:dyDescent="0.25">
      <c r="A168" s="19" t="str">
        <f>Product!$A$60</f>
        <v>DATA-22</v>
      </c>
      <c r="B168" s="20" t="str">
        <f>VLOOKUP($A168,Product!$A$13:$E$61,2,0)&amp;""</f>
        <v>Are involatile backup copies made according to predefined schedules and securely stored and protected?</v>
      </c>
      <c r="C168" s="45" t="str">
        <f>VLOOKUP($A168,Product!$A$13:$E$61,3,0)&amp;""</f>
        <v>Yes</v>
      </c>
      <c r="D168" s="34" t="str">
        <f>IF(LEFT(VLOOKUP($A168,Product!$A$13:$E$61,5,0),21)='Auto Responses'!$A$32,'Auto Responses'!$A$33,VLOOKUP($A168,Product!$A$13:$E$61,4,0))&amp;""</f>
        <v>Backup copies are made according to AWS-managed automated schedules: AWS RDS automated daily backups with point-in-time recovery; S3 versioning for object-level history; AWS Backup vaults for application-level backup of AWS-managed resources. Backups are encrypted (AES-256, KMS-managed keys), stored across multiple Availability Zones for durability, retained per the configured retention policy, and protected against deletion through IAM policies and (where applicable) AWS Backup vault lock for write-once retention. Backup integrity is verified through periodic restore testing as part of disaster recovery validation per the Cursive Policies and Procedures.</v>
      </c>
      <c r="E168" s="330" t="str">
        <f>VLOOKUP($A168,Product!$A$13:$E$61,5,0)&amp;""</f>
        <v>If your strategy uses different processes for services and data, ensure that all strategies are clearly stated and supported.</v>
      </c>
      <c r="F168" s="195"/>
      <c r="G168" s="30" t="str">
        <f>VLOOKUP($A168,Questions!$A$2:$X$333,21,0)&amp;""</f>
        <v>Yes</v>
      </c>
      <c r="H168" s="185"/>
      <c r="I168" s="45" t="str">
        <f>VLOOKUP($A168,Questions!$A$2:$X$333,23,0)&amp;""</f>
        <v>Minor Importance</v>
      </c>
      <c r="J168" s="185"/>
      <c r="K168" s="48" t="b">
        <v>0</v>
      </c>
      <c r="L168" s="1"/>
    </row>
    <row r="169" spans="1:12" s="29" customFormat="1" ht="409.6" x14ac:dyDescent="0.25">
      <c r="A169" s="19" t="str">
        <f>Product!$A$61</f>
        <v>DATA-23</v>
      </c>
      <c r="B169" s="20" t="str">
        <f>VLOOKUP($A169,Product!$A$13:$E$61,2,0)&amp;""</f>
        <v>Do you have a cryptographic key management process (generation, exchange, storage, safeguards, use, vetting, and replacement) that is documented and currently implemented, for all system components (e.g., database, system, web, etc.)?</v>
      </c>
      <c r="C169" s="45" t="str">
        <f>VLOOKUP($A169,Product!$A$13:$E$61,3,0)&amp;""</f>
        <v>Yes</v>
      </c>
      <c r="D169" s="34" t="str">
        <f>IF(LEFT(VLOOKUP($A169,Product!$A$13:$E$61,5,0),21)='Auto Responses'!$A$32,'Auto Responses'!$A$33,VLOOKUP($A169,Product!$A$13:$E$61,4,0))&amp;""</f>
        <v>Cursive maintains a documented cryptographic key management process per the Cursive Policies and Procedures, leveraging AWS Key Management Service (KMS) for centralized key lifecycle management:
Key generation: Through AWS KMS using FIPS 140-2 Level 3 validated HSMs. Customer-managed KMS keys are generated within AWS KMS for institutional data encryption.
Key exchange: AWS KMS handles key derivation and envelope encryption automatically; data encryption keys (DEKs) are generated per-object/per-record and encrypted by the master KMS key. No manual key exchange occurs.
Storage: KMS master keys are stored in HSM-backed AWS KMS infrastructure; key material is not extractable from KMS.
Safeguards: IAM policies restrict KMS key usage to authorized roles; CloudTrail logs all KMS API calls including key usage; KMS key policies enforce least-privilege access.
Use: Encryption operations are performed within AWS-managed services (S3, RDS, EBS, etc.) using KMS-managed keys without exposing key material to application code.
Vetting: KMS keys are reviewed annually per the Cursive Compliance Policy and Procedure Review Calendar. Subprocessor access to KMS is scoped via IAM least-privilege.
Replacement: KMS supports automatic annual key rotation for AWS-managed components and on-demand rotation for customer-managed keys. Key rotation is enabled per AWS recommended baselines.
The cryptographic key management process applies uniformly across database, system, web, and application components within Cursive's environment.</v>
      </c>
      <c r="E169" s="330" t="str">
        <f>VLOOKUP($A169,Product!$A$13:$E$61,5,0)&amp;""</f>
        <v>Summarize your cryptographic key management process.</v>
      </c>
      <c r="F169" s="195"/>
      <c r="G169" s="30" t="str">
        <f>VLOOKUP($A169,Questions!$A$2:$X$333,21,0)&amp;""</f>
        <v>Yes</v>
      </c>
      <c r="H169" s="185"/>
      <c r="I169" s="45" t="str">
        <f>VLOOKUP($A169,Questions!$A$2:$X$333,23,0)&amp;""</f>
        <v>Minor Importance</v>
      </c>
      <c r="J169" s="185"/>
      <c r="K169" s="48" t="b">
        <v>0</v>
      </c>
      <c r="L169" s="1"/>
    </row>
    <row r="170" spans="1:12" s="1" customFormat="1" ht="17.399999999999999" x14ac:dyDescent="0.25">
      <c r="A170" s="63" t="str">
        <f>VLOOKUP(LEFT($A171,4),'Auto Responses'!$N$4:$O$38,2,0)&amp;""</f>
        <v xml:space="preserve"> Application/Service Security</v>
      </c>
      <c r="B170" s="22"/>
      <c r="C170" s="31"/>
      <c r="D170" s="31"/>
      <c r="E170" s="331"/>
      <c r="F170" s="131" t="s">
        <v>1030</v>
      </c>
      <c r="G170" s="335" t="s">
        <v>869</v>
      </c>
      <c r="H170" s="335" t="s">
        <v>871</v>
      </c>
      <c r="I170" s="335" t="s">
        <v>19</v>
      </c>
      <c r="J170" s="335" t="s">
        <v>856</v>
      </c>
      <c r="K170" s="335" t="s">
        <v>867</v>
      </c>
    </row>
    <row r="171" spans="1:12" s="29" customFormat="1" ht="405" x14ac:dyDescent="0.25">
      <c r="A171" s="19" t="str">
        <f>Infrastructure!$A$20</f>
        <v>APPL-01</v>
      </c>
      <c r="B171" s="20" t="str">
        <f>VLOOKUP($A171,Infrastructure!$A$13:$E$74,2,0)&amp;""</f>
        <v>Are access controls for institutional accounts based on structured rules, such as role-based access control (RBAC), attribute-based access control (ABAC), or policy-based access control (PBAC)?*</v>
      </c>
      <c r="C171" s="45" t="str">
        <f>VLOOKUP($A171,Infrastructure!$A$13:$E$74,3,0)&amp;""</f>
        <v>Yes</v>
      </c>
      <c r="D171" s="34" t="str">
        <f>IF(LEFT(VLOOKUP($A171,Infrastructure!$A$13:$E$74,5,0),21)='Auto Responses'!$A$32,'Auto Responses'!$A$33,VLOOKUP($A171,Infrastructure!$A$13:$E$74,4,0))&amp;""</f>
        <v>Access controls for institutional accounts are based on structured rules. End-user access is governed by the institution's LMS RBAC (Moodle native or LTI-passthrough), which Cursive inherits — student, instructor, and administrator roles are determined by the LMS and propagated to TypeID functionality (e.g., instructors see authorship reports for their courses; students see their own data). For institutional administrative access to Cursive-side controls, RBAC is enforced via AWS IAM with least-privilege scoping.</v>
      </c>
      <c r="E171" s="330" t="str">
        <f>VLOOKUP($A171,Infrastructure!$A$13:$E$74,5,0)&amp;""</f>
        <v>Describe available roles.</v>
      </c>
      <c r="F171" s="195"/>
      <c r="G171" s="30" t="str">
        <f>VLOOKUP($A171,Questions!$A$2:$X$333,21,0)&amp;""</f>
        <v>Yes</v>
      </c>
      <c r="H171" s="185"/>
      <c r="I171" s="45" t="str">
        <f>VLOOKUP($A171,Questions!$A$2:$X$333,23,0)&amp;""</f>
        <v>Critical Importance</v>
      </c>
      <c r="J171" s="185"/>
      <c r="K171" s="48" t="b">
        <v>0</v>
      </c>
      <c r="L171" s="1"/>
    </row>
    <row r="172" spans="1:12" s="29" customFormat="1" ht="16.2" x14ac:dyDescent="0.25">
      <c r="A172" s="19" t="str">
        <f>Infrastructure!$A$21</f>
        <v>APPL-02</v>
      </c>
      <c r="B172" s="20" t="str">
        <f>VLOOKUP($A172,Infrastructure!$A$13:$E$74,2,0)&amp;""</f>
        <v>Are you using a web application firewall (WAF)?*</v>
      </c>
      <c r="C172" s="45" t="str">
        <f>VLOOKUP($A172,Infrastructure!$A$13:$E$74,3,0)&amp;""</f>
        <v/>
      </c>
      <c r="D172" s="34" t="str">
        <f>IF(LEFT(VLOOKUP($A172,Infrastructure!$A$13:$E$74,5,0),21)='Auto Responses'!$A$32,'Auto Responses'!$A$33,VLOOKUP($A172,Infrastructure!$A$13:$E$74,4,0))&amp;""</f>
        <v/>
      </c>
      <c r="E172" s="330" t="str">
        <f>VLOOKUP($A172,Infrastructure!$A$13:$E$74,5,0)&amp;""</f>
        <v/>
      </c>
      <c r="F172" s="195"/>
      <c r="G172" s="30" t="str">
        <f>VLOOKUP($A172,Questions!$A$2:$X$333,21,0)&amp;""</f>
        <v>Yes</v>
      </c>
      <c r="H172" s="185"/>
      <c r="I172" s="45" t="str">
        <f>VLOOKUP($A172,Questions!$A$2:$X$333,23,0)&amp;""</f>
        <v>Critical Importance</v>
      </c>
      <c r="J172" s="185"/>
      <c r="K172" s="48" t="b">
        <v>0</v>
      </c>
      <c r="L172" s="1"/>
    </row>
    <row r="173" spans="1:12" s="29" customFormat="1" ht="409.6" x14ac:dyDescent="0.25">
      <c r="A173" s="19" t="str">
        <f>Infrastructure!$A$22</f>
        <v>APPL-03</v>
      </c>
      <c r="B173" s="20" t="str">
        <f>VLOOKUP($A173,Infrastructure!$A$13:$E$74,2,0)&amp;""</f>
        <v>Are only currently supported operating system(s), software, and libraries leveraged by the system(s)/application(s) that will have access to institution's data?*</v>
      </c>
      <c r="C173" s="45" t="str">
        <f>VLOOKUP($A173,Infrastructure!$A$13:$E$74,3,0)&amp;""</f>
        <v>Yes</v>
      </c>
      <c r="D173" s="34" t="str">
        <f>IF(LEFT(VLOOKUP($A173,Infrastructure!$A$13:$E$74,5,0),21)='Auto Responses'!$A$32,'Auto Responses'!$A$33,VLOOKUP($A173,Infrastructure!$A$13:$E$74,4,0))&amp;""</f>
        <v>All operating systems, software libraries, and frameworks leveraged by TypeID systems with access to institutional data are currently supported and receive vendor security updates. The AWS infrastructure layer uses currently-supported AWS-managed services (EKS, RDS, S3, etc.). Application-layer dependencies (Moodle plugin code, browser extension code, server-side API code) are managed via GitHub with Dependabot monitoring for end-of-life or vulnerable dependencies. Outdated or unsupported components identified through dependency review are remediated per the POAM and Linear ticket workflow.</v>
      </c>
      <c r="E173" s="330" t="str">
        <f>VLOOKUP($A173,Infrastructure!$A$13:$E$74,5,0)&amp;""</f>
        <v>Please provide a list of all required dependencies.</v>
      </c>
      <c r="F173" s="195"/>
      <c r="G173" s="30" t="str">
        <f>VLOOKUP($A173,Questions!$A$2:$X$333,21,0)&amp;""</f>
        <v>Yes</v>
      </c>
      <c r="H173" s="185"/>
      <c r="I173" s="45" t="str">
        <f>VLOOKUP($A173,Questions!$A$2:$X$333,23,0)&amp;""</f>
        <v>Critical Importance</v>
      </c>
      <c r="J173" s="185"/>
      <c r="K173" s="48" t="b">
        <v>0</v>
      </c>
      <c r="L173" s="1"/>
    </row>
    <row r="174" spans="1:12" s="29" customFormat="1" ht="291.60000000000002" x14ac:dyDescent="0.25">
      <c r="A174" s="19" t="str">
        <f>Infrastructure!$A$23</f>
        <v>APPL-04</v>
      </c>
      <c r="B174" s="20" t="str">
        <f>VLOOKUP($A174,Infrastructure!$A$13:$E$74,2,0)&amp;""</f>
        <v>Does your application require access to location or GPS data?*</v>
      </c>
      <c r="C174" s="45" t="str">
        <f>VLOOKUP($A174,Infrastructure!$A$13:$E$74,3,0)&amp;""</f>
        <v>No</v>
      </c>
      <c r="D174" s="34" t="str">
        <f>IF(LEFT(VLOOKUP($A174,Infrastructure!$A$13:$E$74,5,0),21)='Auto Responses'!$A$32,'Auto Responses'!$A$33,VLOOKUP($A174,Infrastructure!$A$13:$E$74,4,0))&amp;""</f>
        <v>TypeID does not require, request, or use location or GPS data. The browser extension and Moodle plugin do not access geolocation APIs. The data inventory is limited to writing process telemetry (canvas activity, pastes, final text, keystroke timing) and an opaque LMS-issued UUID — no location, GPS, geographic, or geolocation data is collected or processed.</v>
      </c>
      <c r="E174" s="330" t="str">
        <f>VLOOKUP($A174,Infrastructure!$A$13:$E$74,5,0)&amp;""</f>
        <v>Please indicate any future plans that would require access to this data</v>
      </c>
      <c r="F174" s="195"/>
      <c r="G174" s="30" t="str">
        <f>VLOOKUP($A174,Questions!$A$2:$X$333,21,0)&amp;""</f>
        <v>No</v>
      </c>
      <c r="H174" s="185"/>
      <c r="I174" s="45" t="str">
        <f>VLOOKUP($A174,Questions!$A$2:$X$333,23,0)&amp;""</f>
        <v>Critical Importance</v>
      </c>
      <c r="J174" s="185"/>
      <c r="K174" s="48" t="b">
        <v>0</v>
      </c>
      <c r="L174" s="1"/>
    </row>
    <row r="175" spans="1:12" s="29" customFormat="1" ht="409.6" x14ac:dyDescent="0.25">
      <c r="A175" s="19" t="str">
        <f>Infrastructure!$A$24</f>
        <v>APPL-05</v>
      </c>
      <c r="B175" s="20" t="str">
        <f>VLOOKUP($A175,Infrastructure!$A$13:$E$74,2,0)&amp;""</f>
        <v>Does your application provide separation of duties between security administration, system administration, and standard user functions?*</v>
      </c>
      <c r="C175" s="45" t="str">
        <f>VLOOKUP($A175,Infrastructure!$A$13:$E$74,3,0)&amp;""</f>
        <v>No</v>
      </c>
      <c r="D175" s="34" t="str">
        <f>IF(LEFT(VLOOKUP($A175,Infrastructure!$A$13:$E$74,5,0),21)='Auto Responses'!$A$32,'Auto Responses'!$A$33,VLOOKUP($A175,Infrastructure!$A$13:$E$74,4,0))&amp;""</f>
        <v xml:space="preserve">Partly - Separation of duties is partially implemented given current company size. Security administration, system administration, and standard user functions are scoped via AWS IAM roles with least-privilege access — production AWS access is gated through IAM, code deployment is gated through GitHub branch protection and pull request review, and administrative changes to TypeID configuration require Founder/CEO approval. Strict role separation between security administration and system administration is constrained by the small team size (the Founder/CEO performs both functions in some workflows). Compensating controls include comprehensive audit logging (AWS CloudTrail, GitHub audit log) and the IAM-mediated access model that produces a clear audit trail for all administrative actions. Formal separation of duties is anticipated as the team scales and is on the roadmap as part of SOC 2 preparation.
</v>
      </c>
      <c r="E175" s="330" t="str">
        <f>VLOOKUP($A175,Infrastructure!$A$13:$E$74,5,0)&amp;""</f>
        <v>State plans to implement functionality to provide separation of duties between security administration and system administration functions.</v>
      </c>
      <c r="F175" s="195"/>
      <c r="G175" s="30" t="str">
        <f>VLOOKUP($A175,Questions!$A$2:$X$333,21,0)&amp;""</f>
        <v>Yes</v>
      </c>
      <c r="H175" s="185"/>
      <c r="I175" s="45" t="str">
        <f>VLOOKUP($A175,Questions!$A$2:$X$333,23,0)&amp;""</f>
        <v>Critical Importance</v>
      </c>
      <c r="J175" s="185"/>
      <c r="K175" s="48" t="b">
        <v>0</v>
      </c>
      <c r="L175" s="1"/>
    </row>
    <row r="176" spans="1:12" s="29" customFormat="1" ht="409.6" x14ac:dyDescent="0.25">
      <c r="A176" s="19" t="str">
        <f>Infrastructure!$A$25</f>
        <v>APPL-06</v>
      </c>
      <c r="B176" s="20" t="str">
        <f>VLOOKUP($A176,Infrastructure!$A$13:$E$74,2,0)&amp;""</f>
        <v>Do you subject your code to static code analysis and/or static application security testing prior to release?*</v>
      </c>
      <c r="C176" s="45" t="str">
        <f>VLOOKUP($A176,Infrastructure!$A$13:$E$74,3,0)&amp;""</f>
        <v>No</v>
      </c>
      <c r="D176" s="34" t="str">
        <f>IF(LEFT(VLOOKUP($A176,Infrastructure!$A$13:$E$74,5,0),21)='Auto Responses'!$A$32,'Auto Responses'!$A$33,VLOOKUP($A176,Infrastructure!$A$13:$E$74,4,0))&amp;""</f>
        <v xml:space="preserve">Partly - Cursive uses GitHub-native code analysis tools including CodeQL (where applicable to languages used) and Dependabot for vulnerability scanning of dependencies. A dedicated commercial Static Application Security Testing (SAST) tool (e.g., Snyk, SonarQube, Checkmarx) is not currently deployed. SAST tooling is on the application security roadmap alongside the AWS security certification effort. Pre-release security review is performed through manual code review during the pull request workflow per the Cursive SDLC, and inputs are validated as described in APPL-09 / AISC-04.
</v>
      </c>
      <c r="E176" s="330" t="str">
        <f>VLOOKUP($A176,Infrastructure!$A$13:$E$74,5,0)&amp;""</f>
        <v>State your plans to implement static code testing practices into your environment.</v>
      </c>
      <c r="F176" s="195"/>
      <c r="G176" s="30" t="str">
        <f>VLOOKUP($A176,Questions!$A$2:$X$333,21,0)&amp;""</f>
        <v>Yes</v>
      </c>
      <c r="H176" s="185"/>
      <c r="I176" s="45" t="str">
        <f>VLOOKUP($A176,Questions!$A$2:$X$333,23,0)&amp;""</f>
        <v>Critical Importance</v>
      </c>
      <c r="J176" s="185"/>
      <c r="K176" s="48" t="b">
        <v>0</v>
      </c>
      <c r="L176" s="1"/>
    </row>
    <row r="177" spans="1:12" s="29" customFormat="1" ht="409.6" x14ac:dyDescent="0.25">
      <c r="A177" s="19" t="str">
        <f>Infrastructure!$A$26</f>
        <v>APPL-07</v>
      </c>
      <c r="B177" s="20" t="str">
        <f>VLOOKUP($A177,Infrastructure!$A$13:$E$74,2,0)&amp;""</f>
        <v>Do you have software testing processes (dynamic or static) that are established and followed?*</v>
      </c>
      <c r="C177" s="45" t="str">
        <f>VLOOKUP($A177,Infrastructure!$A$13:$E$74,3,0)&amp;""</f>
        <v>Yes</v>
      </c>
      <c r="D177" s="34" t="str">
        <f>IF(LEFT(VLOOKUP($A177,Infrastructure!$A$13:$E$74,5,0),21)='Auto Responses'!$A$32,'Auto Responses'!$A$33,VLOOKUP($A177,Infrastructure!$A$13:$E$74,4,0))&amp;""</f>
        <v>Cursive maintains established and followed software testing processes per the Cursive SDLC. The release workflow includes: (1) Triage and Backlog review for ticket scoping; (2) In Progress development with developer-level testing; (3) QA with PR staging, code review, and visual/functional verification (including screenshots where applicable) by another team member; (4) Release staging and final QA across all merged tickets before production deployment; (5) Done state for completed/released work. All changes flow through this process before reaching production institutional environments.</v>
      </c>
      <c r="E177" s="330" t="str">
        <f>VLOOKUP($A177,Infrastructure!$A$13:$E$74,5,0)&amp;""</f>
        <v>Describe testing processes, including but not limited to, development of test plans, personnel involved in the testing process, and authorized individual accountable for approval and certification of test results.</v>
      </c>
      <c r="F177" s="195"/>
      <c r="G177" s="30" t="str">
        <f>VLOOKUP($A177,Questions!$A$2:$X$333,21,0)&amp;""</f>
        <v>Yes</v>
      </c>
      <c r="H177" s="185"/>
      <c r="I177" s="45" t="str">
        <f>VLOOKUP($A177,Questions!$A$2:$X$333,23,0)&amp;""</f>
        <v>Critical Importance</v>
      </c>
      <c r="J177" s="185"/>
      <c r="K177" s="48" t="b">
        <v>0</v>
      </c>
      <c r="L177" s="1"/>
    </row>
    <row r="178" spans="1:12" s="29" customFormat="1" ht="409.6" x14ac:dyDescent="0.25">
      <c r="A178" s="19" t="str">
        <f>Infrastructure!$A$27</f>
        <v>APPL-08</v>
      </c>
      <c r="B178" s="20" t="str">
        <f>VLOOKUP($A178,Infrastructure!$A$13:$E$74,2,0)&amp;""</f>
        <v>Are access controls for staff within your organization based on structured rules, such as RBAC, ABAC, or PBAC?</v>
      </c>
      <c r="C178" s="45" t="str">
        <f>VLOOKUP($A178,Infrastructure!$A$13:$E$74,3,0)&amp;""</f>
        <v>Yes</v>
      </c>
      <c r="D178" s="34" t="str">
        <f>IF(LEFT(VLOOKUP($A178,Infrastructure!$A$13:$E$74,5,0),21)='Auto Responses'!$A$32,'Auto Responses'!$A$33,VLOOKUP($A178,Infrastructure!$A$13:$E$74,4,0))&amp;""</f>
        <v>Access controls for staff are based on structured rules. AWS production access is gated through IAM with role-based least-privilege scoping. GitHub access is governed by team membership and branch protection rules. Internal tool access (Linear, Google Workspace, Bitwarden) is gated through SSO + MFA with role-appropriate permissions. Subprocessors (Brain-Station 23, AWS engineering contractor, Tech Worm LLC) access is similarly scoped via AWS IAM and GitHub team membership, restricted to non-production environments by default with no standing access to institutional production data.</v>
      </c>
      <c r="E178" s="330" t="str">
        <f>VLOOKUP($A178,Infrastructure!$A$13:$E$74,5,0)&amp;""</f>
        <v>This includes system administrators and third-party personnel with access to the system. PBAC would include various dynamic controls such as conditional access, risk-based access, location-based access, or system activity–based access.</v>
      </c>
      <c r="F178" s="195"/>
      <c r="G178" s="30" t="str">
        <f>VLOOKUP($A178,Questions!$A$2:$X$333,21,0)&amp;""</f>
        <v>Yes</v>
      </c>
      <c r="H178" s="185"/>
      <c r="I178" s="45" t="str">
        <f>VLOOKUP($A178,Questions!$A$2:$X$333,23,0)&amp;""</f>
        <v>Standard Importance</v>
      </c>
      <c r="J178" s="185"/>
      <c r="K178" s="48" t="b">
        <v>0</v>
      </c>
      <c r="L178" s="1"/>
    </row>
    <row r="179" spans="1:12" s="29" customFormat="1" ht="356.4" x14ac:dyDescent="0.25">
      <c r="A179" s="19" t="str">
        <f>Infrastructure!$A$28</f>
        <v>APPL-09</v>
      </c>
      <c r="B179" s="20" t="str">
        <f>VLOOKUP($A179,Infrastructure!$A$13:$E$74,2,0)&amp;""</f>
        <v>Does the system provide data input validation and error messages?</v>
      </c>
      <c r="C179" s="45" t="str">
        <f>VLOOKUP($A179,Infrastructure!$A$13:$E$74,3,0)&amp;""</f>
        <v>Yes</v>
      </c>
      <c r="D179" s="34" t="str">
        <f>IF(LEFT(VLOOKUP($A179,Infrastructure!$A$13:$E$74,5,0),21)='Auto Responses'!$A$32,'Auto Responses'!$A$33,VLOOKUP($A179,Infrastructure!$A$13:$E$74,4,0))&amp;""</f>
        <v>The TypeID API and integrations validate data inputs against a strict schema (per AISC-04) and reject malformed, out-of-schema, or unauthenticated requests with appropriate error messaging. End-user-facing error states within the LMS surface meaningful messages without exposing system internals. Logging captures validation failures for operational monitoring and audit per the Cursive logging standards.</v>
      </c>
      <c r="E179" s="330" t="str">
        <f>VLOOKUP($A179,Infrastructure!$A$13:$E$74,5,0)&amp;""</f>
        <v>Describe how your system(s) provide data input validation and error messages.</v>
      </c>
      <c r="F179" s="195"/>
      <c r="G179" s="30" t="str">
        <f>VLOOKUP($A179,Questions!$A$2:$X$333,21,0)&amp;""</f>
        <v>Yes</v>
      </c>
      <c r="H179" s="185"/>
      <c r="I179" s="45" t="str">
        <f>VLOOKUP($A179,Questions!$A$2:$X$333,23,0)&amp;""</f>
        <v>Standard Importance</v>
      </c>
      <c r="J179" s="185"/>
      <c r="K179" s="48" t="b">
        <v>0</v>
      </c>
      <c r="L179" s="1"/>
    </row>
    <row r="180" spans="1:12" s="29" customFormat="1" ht="405" x14ac:dyDescent="0.25">
      <c r="A180" s="19" t="str">
        <f>Infrastructure!$A$29</f>
        <v>APPL-10</v>
      </c>
      <c r="B180" s="20" t="str">
        <f>VLOOKUP($A180,Infrastructure!$A$13:$E$74,2,0)&amp;""</f>
        <v>Do you have a process and implemented procedures for managing your software supply chain (e.g., libraries, repositories, frameworks, etc.)?</v>
      </c>
      <c r="C180" s="45" t="str">
        <f>VLOOKUP($A180,Infrastructure!$A$13:$E$74,3,0)&amp;""</f>
        <v>Yes</v>
      </c>
      <c r="D180" s="34" t="str">
        <f>IF(LEFT(VLOOKUP($A180,Infrastructure!$A$13:$E$74,5,0),21)='Auto Responses'!$A$32,'Auto Responses'!$A$33,VLOOKUP($A180,Infrastructure!$A$13:$E$74,4,0))&amp;""</f>
        <v>Cursive maintains software supply chain management through GitHub Organization controls including private/public repository segregation, branch protection, pull request review requirements, and Dependabot monitoring for dependency vulnerabilities and end-of-life components. Identified supply chain issues are tracked in the POAM and Linear ticket workflow with severity-based remediation timelines (Critical: 7 days; High: 30 days; Medium: 60 days; Low: 90 days) per the Cursive Policies and Procedures.</v>
      </c>
      <c r="E180" s="330" t="str">
        <f>VLOOKUP($A180,Infrastructure!$A$13:$E$74,5,0)&amp;""</f>
        <v>Provide supporting documentation of your processes.</v>
      </c>
      <c r="F180" s="195"/>
      <c r="G180" s="30" t="str">
        <f>VLOOKUP($A180,Questions!$A$2:$X$333,21,0)&amp;""</f>
        <v>Yes</v>
      </c>
      <c r="H180" s="185"/>
      <c r="I180" s="45" t="str">
        <f>VLOOKUP($A180,Questions!$A$2:$X$333,23,0)&amp;""</f>
        <v>Standard Importance</v>
      </c>
      <c r="J180" s="185"/>
      <c r="K180" s="48" t="b">
        <v>0</v>
      </c>
      <c r="L180" s="1"/>
    </row>
    <row r="181" spans="1:12" s="29" customFormat="1" ht="409.6" x14ac:dyDescent="0.25">
      <c r="A181" s="19" t="str">
        <f>Infrastructure!$A$30</f>
        <v>APPL-11</v>
      </c>
      <c r="B181" s="20" t="str">
        <f>VLOOKUP($A181,Infrastructure!$A$13:$E$74,2,0)&amp;""</f>
        <v>Have your developers been trained in secure coding techniques?</v>
      </c>
      <c r="C181" s="45" t="str">
        <f>VLOOKUP($A181,Infrastructure!$A$13:$E$74,3,0)&amp;""</f>
        <v>No</v>
      </c>
      <c r="D181" s="34" t="str">
        <f>IF(LEFT(VLOOKUP($A181,Infrastructure!$A$13:$E$74,5,0),21)='Auto Responses'!$A$32,'Auto Responses'!$A$33,VLOOKUP($A181,Infrastructure!$A$13:$E$74,4,0))&amp;""</f>
        <v xml:space="preserve">Partly - Developers receive secure coding awareness through onboarding, the annual privacy and security awareness training (KnowBe4), and ongoing review of OWASP Top 10 considerations during code review. A standalone formal "secure coding training" program with completion certifications is not maintained as a discrete artifact. For subprocessor developers (Brain-Station 23, AWS engineering contractor, Tech Worm LLC), secure coding expectations are incorporated into the engagement contract and reinforced through the pull request review process where Founder/CEO approval is required for production-impacting changes.
</v>
      </c>
      <c r="E181" s="330" t="str">
        <f>VLOOKUP($A181,Infrastructure!$A$13:$E$74,5,0)&amp;""</f>
        <v>State plans to implement a training program on industry standard secure coding practices.</v>
      </c>
      <c r="F181" s="195"/>
      <c r="G181" s="30" t="str">
        <f>VLOOKUP($A181,Questions!$A$2:$X$333,21,0)&amp;""</f>
        <v>Yes</v>
      </c>
      <c r="H181" s="185"/>
      <c r="I181" s="45" t="str">
        <f>VLOOKUP($A181,Questions!$A$2:$X$333,23,0)&amp;""</f>
        <v>Standard Importance</v>
      </c>
      <c r="J181" s="185"/>
      <c r="K181" s="48" t="b">
        <v>0</v>
      </c>
      <c r="L181" s="1"/>
    </row>
    <row r="182" spans="1:12" s="29" customFormat="1" ht="409.6" x14ac:dyDescent="0.25">
      <c r="A182" s="19" t="str">
        <f>Infrastructure!$A$31</f>
        <v>APPL-12</v>
      </c>
      <c r="B182" s="20" t="str">
        <f>VLOOKUP($A182,Infrastructure!$A$13:$E$74,2,0)&amp;""</f>
        <v>Was your application developed using secure coding techniques?</v>
      </c>
      <c r="C182" s="45" t="str">
        <f>VLOOKUP($A182,Infrastructure!$A$13:$E$74,3,0)&amp;""</f>
        <v>Yes</v>
      </c>
      <c r="D182" s="34" t="str">
        <f>IF(LEFT(VLOOKUP($A182,Infrastructure!$A$13:$E$74,5,0),21)='Auto Responses'!$A$32,'Auto Responses'!$A$33,VLOOKUP($A182,Infrastructure!$A$13:$E$74,4,0))&amp;""</f>
        <v>TypeID was developed using secure coding practices per the Cursive SDLC. Practices include: (1) input validation and schema enforcement on all API endpoints; (2) parameterized queries / ORM usage to prevent injection vulnerabilities; (3) HMAC-signed token authentication for sensitive operations; (4) TLS 1.2+ for all data in transit and AES-256 for data at rest; (5) least-privilege AWS IAM scoping; (6) secrets management via Bitwarden (no credentials committed to source code); (7) code review on all production-impacting changes per the SDLC; (8) dependency monitoring via Dependabot. Secure coding considerations are reinforced during pull request review.</v>
      </c>
      <c r="E182" s="330" t="str">
        <f>VLOOKUP($A182,Infrastructure!$A$13:$E$74,5,0)&amp;""</f>
        <v>Summarize your secure coding practices.</v>
      </c>
      <c r="F182" s="195"/>
      <c r="G182" s="30" t="str">
        <f>VLOOKUP($A182,Questions!$A$2:$X$333,21,0)&amp;""</f>
        <v>Yes</v>
      </c>
      <c r="H182" s="185"/>
      <c r="I182" s="45" t="str">
        <f>VLOOKUP($A182,Questions!$A$2:$X$333,23,0)&amp;""</f>
        <v>Standard Importance</v>
      </c>
      <c r="J182" s="185"/>
      <c r="K182" s="48" t="b">
        <v>0</v>
      </c>
      <c r="L182" s="1"/>
    </row>
    <row r="183" spans="1:12" s="29" customFormat="1" ht="409.6" x14ac:dyDescent="0.25">
      <c r="A183" s="19" t="str">
        <f>Infrastructure!$A$32</f>
        <v>APPL-13</v>
      </c>
      <c r="B183" s="20" t="str">
        <f>VLOOKUP($A183,Infrastructure!$A$13:$E$74,2,0)&amp;""</f>
        <v>If mobile, is the application available from a trusted source (e.g., App Store, Google Play Store)?</v>
      </c>
      <c r="C183" s="45" t="str">
        <f>VLOOKUP($A183,Infrastructure!$A$13:$E$74,3,0)&amp;""</f>
        <v>N/A</v>
      </c>
      <c r="D183" s="34" t="str">
        <f>IF(LEFT(VLOOKUP($A183,Infrastructure!$A$13:$E$74,5,0),21)='Auto Responses'!$A$32,'Auto Responses'!$A$33,VLOOKUP($A183,Infrastructure!$A$13:$E$74,4,0))&amp;""</f>
        <v xml:space="preserve">TypeID's primary deployment is server-side (AWS) with a Moodle plugin and browser extension. The browser extension is distributed through trusted browser extension stores: Chrome Web Store, Firefox Add-ons, and (where applicable) Microsoft Edge Add-ons store. TypeID does not currently distribute a native mobile application; the LMS-native and browser-based delivery model means TypeID is accessed on mobile devices through the institution's LMS mobile app or mobile browser, not through a Cursive-published mobile app.
</v>
      </c>
      <c r="E183" s="330" t="str">
        <f>VLOOKUP($A183,Infrastructure!$A$13:$E$74,5,0)&amp;""</f>
        <v>Please explain why this does not apply to your product or service.</v>
      </c>
      <c r="F183" s="195"/>
      <c r="G183" s="30" t="str">
        <f>VLOOKUP($A183,Questions!$A$2:$X$333,21,0)&amp;""</f>
        <v>Yes</v>
      </c>
      <c r="H183" s="185"/>
      <c r="I183" s="45" t="str">
        <f>VLOOKUP($A183,Questions!$A$2:$X$333,23,0)&amp;""</f>
        <v>Minor Importance</v>
      </c>
      <c r="J183" s="185"/>
      <c r="K183" s="48" t="b">
        <v>0</v>
      </c>
      <c r="L183" s="1"/>
    </row>
    <row r="184" spans="1:12" s="29" customFormat="1" ht="409.6" x14ac:dyDescent="0.25">
      <c r="A184" s="19" t="str">
        <f>Infrastructure!$A$33</f>
        <v>APPL-14</v>
      </c>
      <c r="B184" s="20" t="str">
        <f>VLOOKUP($A184,Infrastructure!$A$13:$E$74,2,0)&amp;""</f>
        <v>Do you have a fully implemented policy or procedure that details how your employees obtain administrator access to institutional instance of the application?</v>
      </c>
      <c r="C184" s="45" t="str">
        <f>VLOOKUP($A184,Infrastructure!$A$13:$E$74,3,0)&amp;""</f>
        <v>Yes</v>
      </c>
      <c r="D184" s="34" t="str">
        <f>IF(LEFT(VLOOKUP($A184,Infrastructure!$A$13:$E$74,5,0),21)='Auto Responses'!$A$32,'Auto Responses'!$A$33,VLOOKUP($A184,Infrastructure!$A$13:$E$74,4,0))&amp;""</f>
        <v>Administrator access to institutional instances of TypeID is governed by documented procedures per the Cursive Policies and Procedures. Administrator access requires: (1) institutional contract with Cursive establishing the engagement; (2) named administrators designated by the institution; (3) AWS IAM role assignment scoped to the institution's tenant; (4) MFA enforcement on all administrative interfaces; (5) audit logging of all administrative actions. De-provisioning of administrator access follows the same documented process at offboarding. Administrator access is provisioned by Founder/CEO with Founder/CEO approval; in the future this approval workflow will be delegated as the team scales.</v>
      </c>
      <c r="E184" s="330" t="str">
        <f>VLOOKUP($A184,Infrastructure!$A$13:$E$74,5,0)&amp;""</f>
        <v>Describe or provide a reference that details how administrator access is handled (e.g., provisioning, principle of least privilege, deprovisioning, etc.).</v>
      </c>
      <c r="F184" s="195"/>
      <c r="G184" s="30" t="str">
        <f>VLOOKUP($A184,Questions!$A$2:$X$333,21,0)&amp;""</f>
        <v>Yes</v>
      </c>
      <c r="H184" s="185"/>
      <c r="I184" s="45" t="str">
        <f>VLOOKUP($A184,Questions!$A$2:$X$333,23,0)&amp;""</f>
        <v>Minor Importance</v>
      </c>
      <c r="J184" s="185"/>
      <c r="K184" s="48" t="b">
        <v>0</v>
      </c>
      <c r="L184" s="1"/>
    </row>
    <row r="185" spans="1:12" s="1" customFormat="1" ht="17.399999999999999" x14ac:dyDescent="0.25">
      <c r="A185" s="63" t="str">
        <f>VLOOKUP(LEFT($A186,4),'Auto Responses'!$N$4:$O$38,2,0)&amp;""</f>
        <v xml:space="preserve"> Datacenter</v>
      </c>
      <c r="B185" s="22"/>
      <c r="C185" s="31"/>
      <c r="D185" s="31"/>
      <c r="E185" s="331"/>
      <c r="F185" s="131" t="s">
        <v>1030</v>
      </c>
      <c r="G185" s="335" t="s">
        <v>869</v>
      </c>
      <c r="H185" s="335" t="s">
        <v>871</v>
      </c>
      <c r="I185" s="335" t="s">
        <v>19</v>
      </c>
      <c r="J185" s="335" t="s">
        <v>856</v>
      </c>
      <c r="K185" s="335" t="s">
        <v>867</v>
      </c>
    </row>
    <row r="186" spans="1:12" s="29" customFormat="1" ht="113.4" x14ac:dyDescent="0.25">
      <c r="A186" s="19" t="str">
        <f>Infrastructure!$A$35</f>
        <v>DCTR-01</v>
      </c>
      <c r="B186" s="20" t="str">
        <f>VLOOKUP($A186,Infrastructure!$A$13:$E$74,2,0)&amp;""</f>
        <v>Select your hosting option.</v>
      </c>
      <c r="C186" s="45" t="str">
        <f>VLOOKUP($A186,Infrastructure!$A$13:$E$74,3,0)&amp;""</f>
        <v>AWS</v>
      </c>
      <c r="D186" s="34" t="str">
        <f>IF(LEFT(VLOOKUP($A186,Infrastructure!$A$13:$E$74,5,0),21)='Auto Responses'!$A$32,'Auto Responses'!$A$33,VLOOKUP($A186,Infrastructure!$A$13:$E$74,4,0))&amp;""</f>
        <v>Amazon Web Services (AWS), US-East-1 (N. Virginia) region. AWS is a SOC 2 Type 2, ISO 27001, FedRAMP, and HIPAA-eligible cloud provider.</v>
      </c>
      <c r="E186" s="330" t="str">
        <f>VLOOKUP($A186,Infrastructure!$A$13:$E$74,5,0)&amp;""</f>
        <v/>
      </c>
      <c r="F186" s="195"/>
      <c r="G186" s="30" t="str">
        <f>VLOOKUP($A186,Questions!$A$2:$X$333,21,0)&amp;""</f>
        <v>Not scored</v>
      </c>
      <c r="H186" s="185"/>
      <c r="I186" s="45" t="str">
        <f>VLOOKUP($A186,Questions!$A$2:$X$333,23,0)&amp;""</f>
        <v/>
      </c>
      <c r="J186" s="185"/>
      <c r="K186" s="48" t="b">
        <v>0</v>
      </c>
      <c r="L186" s="1"/>
    </row>
    <row r="187" spans="1:12" s="29" customFormat="1" ht="81" x14ac:dyDescent="0.25">
      <c r="A187" s="19" t="str">
        <f>Infrastructure!$A$36</f>
        <v>DCTR-02</v>
      </c>
      <c r="B187" s="20" t="str">
        <f>VLOOKUP($A187,Infrastructure!$A$13:$E$74,2,0)&amp;""</f>
        <v>Is a SOC 2 Type 2 report available for the hosting environment?</v>
      </c>
      <c r="C187" s="45" t="str">
        <f>VLOOKUP($A187,Infrastructure!$A$13:$E$74,3,0)&amp;""</f>
        <v>Yes</v>
      </c>
      <c r="D187" s="34" t="str">
        <f>IF(LEFT(VLOOKUP($A187,Infrastructure!$A$13:$E$74,5,0),21)='Auto Responses'!$A$32,'Auto Responses'!$A$33,VLOOKUP($A187,Infrastructure!$A$13:$E$74,4,0))&amp;""</f>
        <v>This question does not apply.</v>
      </c>
      <c r="E187" s="330" t="str">
        <f>VLOOKUP($A187,Infrastructure!$A$13:$E$74,5,0)&amp;""</f>
        <v>Based on the response to DCTR-01, this question does not apply to this product or service.</v>
      </c>
      <c r="F187" s="195"/>
      <c r="G187" s="30" t="str">
        <f>VLOOKUP($A187,Questions!$A$2:$X$333,21,0)&amp;""</f>
        <v>Yes</v>
      </c>
      <c r="H187" s="185"/>
      <c r="I187" s="45" t="str">
        <f>VLOOKUP($A187,Questions!$A$2:$X$333,23,0)&amp;""</f>
        <v>Standard Importance</v>
      </c>
      <c r="J187" s="185"/>
      <c r="K187" s="48" t="b">
        <v>0</v>
      </c>
      <c r="L187" s="1"/>
    </row>
    <row r="188" spans="1:12" s="29" customFormat="1" ht="409.6" x14ac:dyDescent="0.25">
      <c r="A188" s="19" t="str">
        <f>Infrastructure!$A$37</f>
        <v>DCTR-03</v>
      </c>
      <c r="B188" s="20" t="str">
        <f>VLOOKUP($A188,Infrastructure!$A$13:$E$74,2,0)&amp;""</f>
        <v>Are you generally able to accommodate storing each institution's data within its geographic region?</v>
      </c>
      <c r="C188" s="45" t="str">
        <f>VLOOKUP($A188,Infrastructure!$A$13:$E$74,3,0)&amp;""</f>
        <v>Yes</v>
      </c>
      <c r="D188" s="34" t="str">
        <f>IF(LEFT(VLOOKUP($A188,Infrastructure!$A$13:$E$74,5,0),21)='Auto Responses'!$A$32,'Auto Responses'!$A$33,VLOOKUP($A188,Infrastructure!$A$13:$E$74,4,0))&amp;""</f>
        <v xml:space="preserve">Cursive currently hosts institutional data exclusively in AWS US-East-1 (N. Virginia). Where contractually required or where institutional policy mandates in-region storage, Cursive can accommodate alternate AWS regions including AWS regions in EU (Frankfurt, Ireland), Asia Pacific, and others — AWS operates 30+ regions globally. Region selection requires institutional engagement and contract review to align with applicable data residency, regulatory (GDPR, PIPL), and operational requirements.
</v>
      </c>
      <c r="E188" s="330" t="str">
        <f>VLOOKUP($A188,Infrastructure!$A$13:$E$74,5,0)&amp;""</f>
        <v>Please indicate which geographic regions you can provide storage in the Additional Info column.</v>
      </c>
      <c r="F188" s="195"/>
      <c r="G188" s="30" t="str">
        <f>VLOOKUP($A188,Questions!$A$2:$X$333,21,0)&amp;""</f>
        <v>Yes</v>
      </c>
      <c r="H188" s="185"/>
      <c r="I188" s="45" t="str">
        <f>VLOOKUP($A188,Questions!$A$2:$X$333,23,0)&amp;""</f>
        <v>Standard Importance</v>
      </c>
      <c r="J188" s="185"/>
      <c r="K188" s="48" t="b">
        <v>0</v>
      </c>
      <c r="L188" s="1"/>
    </row>
    <row r="189" spans="1:12" s="29" customFormat="1" ht="81" x14ac:dyDescent="0.25">
      <c r="A189" s="19" t="str">
        <f>Infrastructure!$A$38</f>
        <v>DCTR-04</v>
      </c>
      <c r="B189" s="20" t="str">
        <f>VLOOKUP($A189,Infrastructure!$A$13:$E$74,2,0)&amp;""</f>
        <v>Are the data centers staffed 24 hours a day, seven days a week (i.e., 24 x 7 x 365)?</v>
      </c>
      <c r="C189" s="45" t="str">
        <f>VLOOKUP($A189,Infrastructure!$A$13:$E$74,3,0)&amp;""</f>
        <v>Yes</v>
      </c>
      <c r="D189" s="34" t="str">
        <f>IF(LEFT(VLOOKUP($A189,Infrastructure!$A$13:$E$74,5,0),21)='Auto Responses'!$A$32,'Auto Responses'!$A$33,VLOOKUP($A189,Infrastructure!$A$13:$E$74,4,0))&amp;""</f>
        <v>This question does not apply.</v>
      </c>
      <c r="E189" s="330" t="str">
        <f>VLOOKUP($A189,Infrastructure!$A$13:$E$74,5,0)&amp;""</f>
        <v>Based on the response to DCTR-01, this question does not apply to this product or service.</v>
      </c>
      <c r="F189" s="195"/>
      <c r="G189" s="30" t="str">
        <f>VLOOKUP($A189,Questions!$A$2:$X$333,21,0)&amp;""</f>
        <v>Yes</v>
      </c>
      <c r="H189" s="185"/>
      <c r="I189" s="45" t="str">
        <f>VLOOKUP($A189,Questions!$A$2:$X$333,23,0)&amp;""</f>
        <v>Standard Importance</v>
      </c>
      <c r="J189" s="185"/>
      <c r="K189" s="48" t="b">
        <v>0</v>
      </c>
      <c r="L189" s="1"/>
    </row>
    <row r="190" spans="1:12" s="29" customFormat="1" ht="81" x14ac:dyDescent="0.25">
      <c r="A190" s="19" t="str">
        <f>Infrastructure!$A$39</f>
        <v>DCTR-05</v>
      </c>
      <c r="B190" s="20" t="str">
        <f>VLOOKUP($A190,Infrastructure!$A$13:$E$74,2,0)&amp;""</f>
        <v>Are your servers separated from other companies via a physical barrier, such as a cage or hard walls?</v>
      </c>
      <c r="C190" s="45" t="str">
        <f>VLOOKUP($A190,Infrastructure!$A$13:$E$74,3,0)&amp;""</f>
        <v>Yes</v>
      </c>
      <c r="D190" s="34" t="str">
        <f>IF(LEFT(VLOOKUP($A190,Infrastructure!$A$13:$E$74,5,0),21)='Auto Responses'!$A$32,'Auto Responses'!$A$33,VLOOKUP($A190,Infrastructure!$A$13:$E$74,4,0))&amp;""</f>
        <v>This question does not apply.</v>
      </c>
      <c r="E190" s="330" t="str">
        <f>VLOOKUP($A190,Infrastructure!$A$13:$E$74,5,0)&amp;""</f>
        <v>Based on the response to DCTR-01, this question does not apply to this product or service.</v>
      </c>
      <c r="F190" s="195"/>
      <c r="G190" s="30" t="str">
        <f>VLOOKUP($A190,Questions!$A$2:$X$333,21,0)&amp;""</f>
        <v>Yes</v>
      </c>
      <c r="H190" s="185"/>
      <c r="I190" s="45" t="str">
        <f>VLOOKUP($A190,Questions!$A$2:$X$333,23,0)&amp;""</f>
        <v>Standard Importance</v>
      </c>
      <c r="J190" s="185"/>
      <c r="K190" s="48" t="b">
        <v>0</v>
      </c>
      <c r="L190" s="1"/>
    </row>
    <row r="191" spans="1:12" s="29" customFormat="1" ht="81" x14ac:dyDescent="0.25">
      <c r="A191" s="19" t="str">
        <f>Infrastructure!$A$40</f>
        <v>DCTR-06</v>
      </c>
      <c r="B191" s="20" t="str">
        <f>VLOOKUP($A191,Infrastructure!$A$13:$E$74,2,0)&amp;""</f>
        <v>Does a physical barrier fully enclose the physical space, preventing unauthorized physical contact with any of your devices?*</v>
      </c>
      <c r="C191" s="45" t="str">
        <f>VLOOKUP($A191,Infrastructure!$A$13:$E$74,3,0)&amp;""</f>
        <v>Yes</v>
      </c>
      <c r="D191" s="34" t="str">
        <f>IF(LEFT(VLOOKUP($A191,Infrastructure!$A$13:$E$74,5,0),21)='Auto Responses'!$A$32,'Auto Responses'!$A$33,VLOOKUP($A191,Infrastructure!$A$13:$E$74,4,0))&amp;""</f>
        <v>This question does not apply.</v>
      </c>
      <c r="E191" s="330" t="str">
        <f>VLOOKUP($A191,Infrastructure!$A$13:$E$74,5,0)&amp;""</f>
        <v>Based on the response to DCTR-01, this question does not apply to this product or service.</v>
      </c>
      <c r="F191" s="195"/>
      <c r="G191" s="30" t="str">
        <f>VLOOKUP($A191,Questions!$A$2:$X$333,21,0)&amp;""</f>
        <v>Yes</v>
      </c>
      <c r="H191" s="185"/>
      <c r="I191" s="45" t="str">
        <f>VLOOKUP($A191,Questions!$A$2:$X$333,23,0)&amp;""</f>
        <v>Critical Importance</v>
      </c>
      <c r="J191" s="185"/>
      <c r="K191" s="48" t="b">
        <v>0</v>
      </c>
      <c r="L191" s="1"/>
    </row>
    <row r="192" spans="1:12" s="29" customFormat="1" ht="340.2" x14ac:dyDescent="0.25">
      <c r="A192" s="19" t="str">
        <f>Infrastructure!$A$41</f>
        <v>DCTR-07</v>
      </c>
      <c r="B192" s="20" t="str">
        <f>VLOOKUP($A192,Infrastructure!$A$13:$E$74,2,0)&amp;""</f>
        <v>Are your primary and secondary data centers geographically diverse?</v>
      </c>
      <c r="C192" s="45" t="str">
        <f>VLOOKUP($A192,Infrastructure!$A$13:$E$74,3,0)&amp;""</f>
        <v>Yes</v>
      </c>
      <c r="D192" s="34" t="str">
        <f>IF(LEFT(VLOOKUP($A192,Infrastructure!$A$13:$E$74,5,0),21)='Auto Responses'!$A$32,'Auto Responses'!$A$33,VLOOKUP($A192,Infrastructure!$A$13:$E$74,4,0))&amp;""</f>
        <v xml:space="preserve">AWS infrastructure provides geographically diverse availability zones (AZs) within US-East-1 region (separated by meaningful distance for disaster resilience) and the option for multi-region deployment for additional geographic diversity. Cursive's current production environment uses multi-AZ AWS architecture; secondary region failover is on the infrastructure roadmap as part of the EKS rebuild.
</v>
      </c>
      <c r="E192" s="330" t="str">
        <f>VLOOKUP($A192,Infrastructure!$A$13:$E$74,5,0)&amp;""</f>
        <v>State your primary and secondary data center locations. For cloud infrastructures, state the primary and secondary zones.</v>
      </c>
      <c r="F192" s="195"/>
      <c r="G192" s="30" t="str">
        <f>VLOOKUP($A192,Questions!$A$2:$X$333,21,0)&amp;""</f>
        <v>Yes</v>
      </c>
      <c r="H192" s="185"/>
      <c r="I192" s="45" t="str">
        <f>VLOOKUP($A192,Questions!$A$2:$X$333,23,0)&amp;""</f>
        <v>Standard Importance</v>
      </c>
      <c r="J192" s="185"/>
      <c r="K192" s="48" t="b">
        <v>0</v>
      </c>
      <c r="L192" s="1"/>
    </row>
    <row r="193" spans="1:12" s="29" customFormat="1" ht="226.8" x14ac:dyDescent="0.25">
      <c r="A193" s="19" t="str">
        <f>Infrastructure!$A$42</f>
        <v>DCTR-08</v>
      </c>
      <c r="B193" s="20" t="str">
        <f>VLOOKUP($A193,Infrastructure!$A$13:$E$74,2,0)&amp;""</f>
        <v>Is the service hosted in a high-availability environment?</v>
      </c>
      <c r="C193" s="45" t="str">
        <f>VLOOKUP($A193,Infrastructure!$A$13:$E$74,3,0)&amp;""</f>
        <v>Yes</v>
      </c>
      <c r="D193" s="34" t="str">
        <f>IF(LEFT(VLOOKUP($A193,Infrastructure!$A$13:$E$74,5,0),21)='Auto Responses'!$A$32,'Auto Responses'!$A$33,VLOOKUP($A193,Infrastructure!$A$13:$E$74,4,0))&amp;""</f>
        <v>TypeID is hosted in a high-availability AWS environment using multi-AZ deployment for compute, storage, and database services. AWS-managed services (RDS, S3, EKS) provide built-in redundancy and automated failover within the region. High-availability architecture inherited from AWS infrastructure design.</v>
      </c>
      <c r="E193" s="330" t="str">
        <f>VLOOKUP($A193,Infrastructure!$A$13:$E$74,5,0)&amp;""</f>
        <v>Provide a summary to support your response selection.</v>
      </c>
      <c r="F193" s="195"/>
      <c r="G193" s="30" t="str">
        <f>VLOOKUP($A193,Questions!$A$2:$X$333,21,0)&amp;""</f>
        <v>Yes</v>
      </c>
      <c r="H193" s="185"/>
      <c r="I193" s="45" t="str">
        <f>VLOOKUP($A193,Questions!$A$2:$X$333,23,0)&amp;""</f>
        <v>Standard Importance</v>
      </c>
      <c r="J193" s="185"/>
      <c r="K193" s="48" t="b">
        <v>0</v>
      </c>
      <c r="L193" s="1"/>
    </row>
    <row r="194" spans="1:12" s="29" customFormat="1" ht="81" x14ac:dyDescent="0.25">
      <c r="A194" s="19" t="str">
        <f>Infrastructure!$A$43</f>
        <v>DCTR-09</v>
      </c>
      <c r="B194" s="20" t="str">
        <f>VLOOKUP($A194,Infrastructure!$A$13:$E$74,2,0)&amp;""</f>
        <v>Is redundant power available for all data centers where institutional data will reside?</v>
      </c>
      <c r="C194" s="45" t="str">
        <f>VLOOKUP($A194,Infrastructure!$A$13:$E$74,3,0)&amp;""</f>
        <v>Yes</v>
      </c>
      <c r="D194" s="34" t="str">
        <f>IF(LEFT(VLOOKUP($A194,Infrastructure!$A$13:$E$74,5,0),21)='Auto Responses'!$A$32,'Auto Responses'!$A$33,VLOOKUP($A194,Infrastructure!$A$13:$E$74,4,0))&amp;""</f>
        <v>This question does not apply.</v>
      </c>
      <c r="E194" s="330" t="str">
        <f>VLOOKUP($A194,Infrastructure!$A$13:$E$74,5,0)&amp;""</f>
        <v>Based on the response to DCTR-01, this question does not apply to this product or service.</v>
      </c>
      <c r="F194" s="195"/>
      <c r="G194" s="30" t="str">
        <f>VLOOKUP($A194,Questions!$A$2:$X$333,21,0)&amp;""</f>
        <v>Yes</v>
      </c>
      <c r="H194" s="185"/>
      <c r="I194" s="45" t="str">
        <f>VLOOKUP($A194,Questions!$A$2:$X$333,23,0)&amp;""</f>
        <v>Standard Importance</v>
      </c>
      <c r="J194" s="185"/>
      <c r="K194" s="48" t="b">
        <v>0</v>
      </c>
      <c r="L194" s="1"/>
    </row>
    <row r="195" spans="1:12" s="29" customFormat="1" ht="81" x14ac:dyDescent="0.25">
      <c r="A195" s="19" t="str">
        <f>Infrastructure!$A$44</f>
        <v>DCTR-10</v>
      </c>
      <c r="B195" s="20" t="str">
        <f>VLOOKUP($A195,Infrastructure!$A$13:$E$74,2,0)&amp;""</f>
        <v>Are redundant power strategies tested?*</v>
      </c>
      <c r="C195" s="45" t="str">
        <f>VLOOKUP($A195,Infrastructure!$A$13:$E$74,3,0)&amp;""</f>
        <v>Yes</v>
      </c>
      <c r="D195" s="34" t="str">
        <f>IF(LEFT(VLOOKUP($A195,Infrastructure!$A$13:$E$74,5,0),21)='Auto Responses'!$A$32,'Auto Responses'!$A$33,VLOOKUP($A195,Infrastructure!$A$13:$E$74,4,0))&amp;""</f>
        <v>This question does not apply.</v>
      </c>
      <c r="E195" s="330" t="str">
        <f>VLOOKUP($A195,Infrastructure!$A$13:$E$74,5,0)&amp;""</f>
        <v>Based on the response to DCTR-01, this question does not apply to this product or service.</v>
      </c>
      <c r="F195" s="195"/>
      <c r="G195" s="30" t="str">
        <f>VLOOKUP($A195,Questions!$A$2:$X$333,21,0)&amp;""</f>
        <v>Yes</v>
      </c>
      <c r="H195" s="185"/>
      <c r="I195" s="45" t="str">
        <f>VLOOKUP($A195,Questions!$A$2:$X$333,23,0)&amp;""</f>
        <v>Critical Importance</v>
      </c>
      <c r="J195" s="185"/>
      <c r="K195" s="48" t="b">
        <v>0</v>
      </c>
      <c r="L195" s="1"/>
    </row>
    <row r="196" spans="1:12" s="29" customFormat="1" ht="81" x14ac:dyDescent="0.25">
      <c r="A196" s="19" t="str">
        <f>Infrastructure!$A$45</f>
        <v>DCTR-11</v>
      </c>
      <c r="B196" s="20" t="str">
        <f>VLOOKUP($A196,Infrastructure!$A$13:$E$74,2,0)&amp;""</f>
        <v>Does the center where the data will reside have cooling and fire-suppression systems that are active and regularly tested?</v>
      </c>
      <c r="C196" s="45" t="str">
        <f>VLOOKUP($A196,Infrastructure!$A$13:$E$74,3,0)&amp;""</f>
        <v>Yes</v>
      </c>
      <c r="D196" s="34" t="str">
        <f>IF(LEFT(VLOOKUP($A196,Infrastructure!$A$13:$E$74,5,0),21)='Auto Responses'!$A$32,'Auto Responses'!$A$33,VLOOKUP($A196,Infrastructure!$A$13:$E$74,4,0))&amp;""</f>
        <v>This question does not apply.</v>
      </c>
      <c r="E196" s="330" t="str">
        <f>VLOOKUP($A196,Infrastructure!$A$13:$E$74,5,0)&amp;""</f>
        <v>Based on the response to DCTR-01, this question does not apply to this product or service.</v>
      </c>
      <c r="F196" s="195"/>
      <c r="G196" s="30" t="str">
        <f>VLOOKUP($A196,Questions!$A$2:$X$333,21,0)&amp;""</f>
        <v>Yes</v>
      </c>
      <c r="H196" s="185"/>
      <c r="I196" s="45" t="str">
        <f>VLOOKUP($A196,Questions!$A$2:$X$333,23,0)&amp;""</f>
        <v>Standard Importance</v>
      </c>
      <c r="J196" s="185"/>
      <c r="K196" s="48" t="b">
        <v>0</v>
      </c>
      <c r="L196" s="1"/>
    </row>
    <row r="197" spans="1:12" s="29" customFormat="1" ht="81" x14ac:dyDescent="0.25">
      <c r="A197" s="19" t="str">
        <f>Infrastructure!$A$46</f>
        <v>DCTR-12</v>
      </c>
      <c r="B197" s="20" t="str">
        <f>VLOOKUP($A197,Infrastructure!$A$13:$E$74,2,0)&amp;""</f>
        <v>Do you have Internet Service Provider (ISP) redundancy?</v>
      </c>
      <c r="C197" s="45" t="str">
        <f>VLOOKUP($A197,Infrastructure!$A$13:$E$74,3,0)&amp;""</f>
        <v>Yes</v>
      </c>
      <c r="D197" s="34" t="str">
        <f>IF(LEFT(VLOOKUP($A197,Infrastructure!$A$13:$E$74,5,0),21)='Auto Responses'!$A$32,'Auto Responses'!$A$33,VLOOKUP($A197,Infrastructure!$A$13:$E$74,4,0))&amp;""</f>
        <v>This question does not apply.</v>
      </c>
      <c r="E197" s="330" t="str">
        <f>VLOOKUP($A197,Infrastructure!$A$13:$E$74,5,0)&amp;""</f>
        <v>Based on the response to DCTR-01, this question does not apply to this product or service.</v>
      </c>
      <c r="F197" s="195"/>
      <c r="G197" s="30" t="str">
        <f>VLOOKUP($A197,Questions!$A$2:$X$333,21,0)&amp;""</f>
        <v>Yes</v>
      </c>
      <c r="H197" s="185"/>
      <c r="I197" s="45" t="str">
        <f>VLOOKUP($A197,Questions!$A$2:$X$333,23,0)&amp;""</f>
        <v>Standard Importance</v>
      </c>
      <c r="J197" s="185"/>
      <c r="K197" s="48" t="b">
        <v>0</v>
      </c>
      <c r="L197" s="1"/>
    </row>
    <row r="198" spans="1:12" s="29" customFormat="1" ht="81" x14ac:dyDescent="0.25">
      <c r="A198" s="19" t="str">
        <f>Infrastructure!$A$47</f>
        <v>DCTR-13</v>
      </c>
      <c r="B198" s="20" t="str">
        <f>VLOOKUP($A198,Infrastructure!$A$13:$E$74,2,0)&amp;""</f>
        <v>Does every data center where the institution's data will reside have multiple telephone company or network provider entrances to the facility?</v>
      </c>
      <c r="C198" s="45" t="str">
        <f>VLOOKUP($A198,Infrastructure!$A$13:$E$74,3,0)&amp;""</f>
        <v>Yes</v>
      </c>
      <c r="D198" s="34" t="str">
        <f>IF(LEFT(VLOOKUP($A198,Infrastructure!$A$13:$E$74,5,0),21)='Auto Responses'!$A$32,'Auto Responses'!$A$33,VLOOKUP($A198,Infrastructure!$A$13:$E$74,4,0))&amp;""</f>
        <v>This question does not apply.</v>
      </c>
      <c r="E198" s="330" t="str">
        <f>VLOOKUP($A198,Infrastructure!$A$13:$E$74,5,0)&amp;""</f>
        <v>Based on the response to DCTR-01, this question does not apply to this product or service.</v>
      </c>
      <c r="F198" s="195"/>
      <c r="G198" s="30" t="str">
        <f>VLOOKUP($A198,Questions!$A$2:$X$333,21,0)&amp;""</f>
        <v>Yes</v>
      </c>
      <c r="H198" s="185"/>
      <c r="I198" s="45" t="str">
        <f>VLOOKUP($A198,Questions!$A$2:$X$333,23,0)&amp;""</f>
        <v>Standard Importance</v>
      </c>
      <c r="J198" s="185"/>
      <c r="K198" s="48" t="b">
        <v>0</v>
      </c>
      <c r="L198" s="1"/>
    </row>
    <row r="199" spans="1:12" s="29" customFormat="1" ht="409.6" x14ac:dyDescent="0.25">
      <c r="A199" s="19" t="str">
        <f>Infrastructure!$A$48</f>
        <v>DCTR-14</v>
      </c>
      <c r="B199" s="20" t="str">
        <f>VLOOKUP($A199,Infrastructure!$A$13:$E$74,2,0)&amp;""</f>
        <v>Do you require multifactor authentication for all administrative accounts in your environment?</v>
      </c>
      <c r="C199" s="45" t="str">
        <f>VLOOKUP($A199,Infrastructure!$A$13:$E$74,3,0)&amp;""</f>
        <v>Yes</v>
      </c>
      <c r="D199" s="34" t="str">
        <f>IF(LEFT(VLOOKUP($A199,Infrastructure!$A$13:$E$74,5,0),21)='Auto Responses'!$A$32,'Auto Responses'!$A$33,VLOOKUP($A199,Infrastructure!$A$13:$E$74,4,0))&amp;""</f>
        <v>MFA is required for all administrative accounts in Cursive's AWS environment. AWS Console and AWS API access for all administrative roles (Cursive Founder/CEO, AWS engineering subprocessor) require MFA enforcement at the IAM policy level. AWS root account is protected by MFA and is not used for routine operations. Subprocessor administrative access (Brain-Station 23, Tech Worm LLC where applicable) similarly requires MFA. MFA is also enforced on all internal Cursive administrative interfaces (GitHub, Linear, Google Workspace, Bitwarden) per HLAA-08.</v>
      </c>
      <c r="E199" s="330" t="str">
        <f>VLOOKUP($A199,Infrastructure!$A$13:$E$74,5,0)&amp;""</f>
        <v>State which model of MFA you are using.</v>
      </c>
      <c r="F199" s="195"/>
      <c r="G199" s="30" t="str">
        <f>VLOOKUP($A199,Questions!$A$2:$X$333,21,0)&amp;""</f>
        <v>Yes</v>
      </c>
      <c r="H199" s="185"/>
      <c r="I199" s="45" t="str">
        <f>VLOOKUP($A199,Questions!$A$2:$X$333,23,0)&amp;""</f>
        <v>Standard Importance</v>
      </c>
      <c r="J199" s="185"/>
      <c r="K199" s="48" t="b">
        <v>0</v>
      </c>
      <c r="L199" s="1"/>
    </row>
    <row r="200" spans="1:12" s="29" customFormat="1" ht="388.8" x14ac:dyDescent="0.25">
      <c r="A200" s="19" t="str">
        <f>Infrastructure!$A$49</f>
        <v>DCTR-15</v>
      </c>
      <c r="B200" s="20" t="str">
        <f>VLOOKUP($A200,Infrastructure!$A$13:$E$74,2,0)&amp;""</f>
        <v>Are you using your cloud provider's available hardening tools or pre-hardened images?</v>
      </c>
      <c r="C200" s="45" t="str">
        <f>VLOOKUP($A200,Infrastructure!$A$13:$E$74,3,0)&amp;""</f>
        <v>Yes</v>
      </c>
      <c r="D200" s="34" t="str">
        <f>IF(LEFT(VLOOKUP($A200,Infrastructure!$A$13:$E$74,5,0),21)='Auto Responses'!$A$32,'Auto Responses'!$A$33,VLOOKUP($A200,Infrastructure!$A$13:$E$74,4,0))&amp;""</f>
        <v>Cursive uses AWS-provided hardening tools and pre-hardened components throughout the infrastructure: AWS-managed services (EKS, RDS, S3) inherit AWS security baselines; AWS-provided AMIs are used where applicable; AWS Security Hub and AWS Config are being onboarded as part of the EKS rebuild for continuous compliance monitoring; AWS GuardDuty evaluation is in progress for threat detection. AWS Well-Architected Framework principles guide infrastructure design.</v>
      </c>
      <c r="E200" s="330" t="str">
        <f>VLOOKUP($A200,Infrastructure!$A$13:$E$74,5,0)&amp;""</f>
        <v/>
      </c>
      <c r="F200" s="195"/>
      <c r="G200" s="30" t="str">
        <f>VLOOKUP($A200,Questions!$A$2:$X$333,21,0)&amp;""</f>
        <v>Yes</v>
      </c>
      <c r="H200" s="185"/>
      <c r="I200" s="45" t="str">
        <f>VLOOKUP($A200,Questions!$A$2:$X$333,23,0)&amp;""</f>
        <v>Standard Importance</v>
      </c>
      <c r="J200" s="185"/>
      <c r="K200" s="48" t="b">
        <v>0</v>
      </c>
      <c r="L200" s="1"/>
    </row>
    <row r="201" spans="1:12" s="29" customFormat="1" ht="356.4" x14ac:dyDescent="0.25">
      <c r="A201" s="19" t="str">
        <f>Infrastructure!$A$50</f>
        <v>DCTR-16</v>
      </c>
      <c r="B201" s="20" t="str">
        <f>VLOOKUP($A201,Infrastructure!$A$13:$E$74,2,0)&amp;""</f>
        <v>Does your cloud solution provider have access to your encryption keys?</v>
      </c>
      <c r="C201" s="45" t="str">
        <f>VLOOKUP($A201,Infrastructure!$A$13:$E$74,3,0)&amp;""</f>
        <v>No</v>
      </c>
      <c r="D201" s="34" t="str">
        <f>IF(LEFT(VLOOKUP($A201,Infrastructure!$A$13:$E$74,5,0),21)='Auto Responses'!$A$32,'Auto Responses'!$A$33,VLOOKUP($A201,Infrastructure!$A$13:$E$74,4,0))&amp;""</f>
        <v>AWS does not have access to Cursive's encryption key material in plaintext. Cursive uses AWS Key Management Service (AWS KMS) for encryption key management; KMS keys are stored in AWS-managed hardware security modules (HSMs) and are accessible only through controlled AWS API calls authenticated by Cursive's IAM credentials. AWS personnel cannot directly export, view, or extract Cursive's KMS key material.</v>
      </c>
      <c r="E201" s="330" t="str">
        <f>VLOOKUP($A201,Infrastructure!$A$13:$E$74,5,0)&amp;""</f>
        <v>Describe your key management practices.</v>
      </c>
      <c r="F201" s="195"/>
      <c r="G201" s="30" t="str">
        <f>VLOOKUP($A201,Questions!$A$2:$X$333,21,0)&amp;""</f>
        <v>No</v>
      </c>
      <c r="H201" s="185"/>
      <c r="I201" s="45" t="str">
        <f>VLOOKUP($A201,Questions!$A$2:$X$333,23,0)&amp;""</f>
        <v>Standard Importance</v>
      </c>
      <c r="J201" s="185"/>
      <c r="K201" s="48" t="b">
        <v>0</v>
      </c>
      <c r="L201" s="1"/>
    </row>
    <row r="202" spans="1:12" s="1" customFormat="1" ht="17.399999999999999" x14ac:dyDescent="0.25">
      <c r="A202" s="63" t="str">
        <f>VLOOKUP(LEFT($A203,4),'Auto Responses'!$N$4:$O$38,2,0)&amp;""</f>
        <v xml:space="preserve"> Firewalls, IDS, IPS, and Networking</v>
      </c>
      <c r="B202" s="22"/>
      <c r="C202" s="31"/>
      <c r="D202" s="31"/>
      <c r="E202" s="331"/>
      <c r="F202" s="131" t="s">
        <v>1030</v>
      </c>
      <c r="G202" s="335" t="s">
        <v>869</v>
      </c>
      <c r="H202" s="335" t="s">
        <v>871</v>
      </c>
      <c r="I202" s="335" t="s">
        <v>19</v>
      </c>
      <c r="J202" s="335" t="s">
        <v>856</v>
      </c>
      <c r="K202" s="335" t="s">
        <v>867</v>
      </c>
    </row>
    <row r="203" spans="1:12" s="29" customFormat="1" ht="275.39999999999998" x14ac:dyDescent="0.25">
      <c r="A203" s="19" t="str">
        <f>Infrastructure!$A$52</f>
        <v>FIDP-01</v>
      </c>
      <c r="B203" s="20" t="str">
        <f>VLOOKUP($A203,Infrastructure!$A$13:$E$74,2,0)&amp;""</f>
        <v>Are you utilizing a stateful packet inspection (SPI) firewall?*</v>
      </c>
      <c r="C203" s="45" t="str">
        <f>VLOOKUP($A203,Infrastructure!$A$13:$E$74,3,0)&amp;""</f>
        <v>Yes</v>
      </c>
      <c r="D203" s="34" t="str">
        <f>IF(LEFT(VLOOKUP($A203,Infrastructure!$A$13:$E$74,5,0),21)='Auto Responses'!$A$32,'Auto Responses'!$A$33,VLOOKUP($A203,Infrastructure!$A$13:$E$74,4,0))&amp;""</f>
        <v>Cursive employs stateful packet inspection through AWS Network Firewall and AWS Security Groups. AWS Network Firewall provides stateful traffic inspection with rule-based filtering at the VPC perimeter; AWS Security Groups provide stateful instance-level filtering. Both inherit AWS's underlying network security infrastructure.</v>
      </c>
      <c r="E203" s="330" t="str">
        <f>VLOOKUP($A203,Infrastructure!$A$13:$E$74,5,0)&amp;""</f>
        <v>Describe the currently implemented SPI firewall.</v>
      </c>
      <c r="F203" s="195"/>
      <c r="G203" s="30" t="str">
        <f>VLOOKUP($A203,Questions!$A$2:$X$333,21,0)&amp;""</f>
        <v>Yes</v>
      </c>
      <c r="H203" s="185"/>
      <c r="I203" s="45" t="str">
        <f>VLOOKUP($A203,Questions!$A$2:$X$333,23,0)&amp;""</f>
        <v>Critical Importance</v>
      </c>
      <c r="J203" s="185"/>
      <c r="K203" s="48" t="b">
        <v>0</v>
      </c>
      <c r="L203" s="1"/>
    </row>
    <row r="204" spans="1:12" s="29" customFormat="1" ht="372.6" x14ac:dyDescent="0.25">
      <c r="A204" s="19" t="str">
        <f>Infrastructure!$A$53</f>
        <v>FIDP-02</v>
      </c>
      <c r="B204" s="20" t="str">
        <f>VLOOKUP($A204,Infrastructure!$A$13:$E$74,2,0)&amp;""</f>
        <v>Do you have a documented policy for firewall change requests?*</v>
      </c>
      <c r="C204" s="45" t="str">
        <f>VLOOKUP($A204,Infrastructure!$A$13:$E$74,3,0)&amp;""</f>
        <v>Yes</v>
      </c>
      <c r="D204" s="34" t="str">
        <f>IF(LEFT(VLOOKUP($A204,Infrastructure!$A$13:$E$74,5,0),21)='Auto Responses'!$A$32,'Auto Responses'!$A$33,VLOOKUP($A204,Infrastructure!$A$13:$E$74,4,0))&amp;""</f>
        <v>Firewall change requests follow Cursive's documented change management process per the Cursive Policies and Procedures and SDLC. Network and firewall configuration changes are managed as code where possible (Infrastructure as Code via AWS CloudFormation / Terraform under the EKS rebuild), require Founder/CEO approval, undergo Security Impact Analysis, and are deployed through the standard QA/Release workflow with audit logging via AWS CloudTrail.</v>
      </c>
      <c r="E204" s="330" t="str">
        <f>VLOOKUP($A204,Infrastructure!$A$13:$E$74,5,0)&amp;""</f>
        <v>Describe your documented firewall change request policy.</v>
      </c>
      <c r="F204" s="195"/>
      <c r="G204" s="30" t="str">
        <f>VLOOKUP($A204,Questions!$A$2:$X$333,21,0)&amp;""</f>
        <v>Yes</v>
      </c>
      <c r="H204" s="185"/>
      <c r="I204" s="45" t="str">
        <f>VLOOKUP($A204,Questions!$A$2:$X$333,23,0)&amp;""</f>
        <v>Critical Importance</v>
      </c>
      <c r="J204" s="185"/>
      <c r="K204" s="48" t="b">
        <v>0</v>
      </c>
      <c r="L204" s="1"/>
    </row>
    <row r="205" spans="1:12" s="29" customFormat="1" ht="409.6" x14ac:dyDescent="0.25">
      <c r="A205" s="19" t="str">
        <f>Infrastructure!$A$54</f>
        <v>FIDP-03</v>
      </c>
      <c r="B205" s="20" t="str">
        <f>VLOOKUP($A205,Infrastructure!$A$13:$E$74,2,0)&amp;""</f>
        <v>Have you implemented an intrusion detection system (network-based)?*</v>
      </c>
      <c r="C205" s="45" t="str">
        <f>VLOOKUP($A205,Infrastructure!$A$13:$E$74,3,0)&amp;""</f>
        <v>No</v>
      </c>
      <c r="D205" s="34" t="str">
        <f>IF(LEFT(VLOOKUP($A205,Infrastructure!$A$13:$E$74,5,0),21)='Auto Responses'!$A$32,'Auto Responses'!$A$33,VLOOKUP($A205,Infrastructure!$A$13:$E$74,4,0))&amp;""</f>
        <v xml:space="preserve">Cursive does not currently operate a dedicated network-based intrusion detection system. Network-layer protection is provided through AWS Network Firewall (per FIDP-01), AWS Security Groups, VPC isolation, and TLS 1.2+ encryption on all network traffic. AWS GuardDuty (which provides managed threat detection for AWS environments including network-flow analysis, DNS analysis, and anomaly detection) is under evaluation as part of the EKS rebuild and AWS security certification effort. Once GuardDuty is enabled, this control will move to "Yes."
</v>
      </c>
      <c r="E205" s="330" t="str">
        <f>VLOOKUP($A205,Infrastructure!$A$13:$E$74,5,0)&amp;""</f>
        <v>Describe your plan to implement an intrusion detection system in your environment.</v>
      </c>
      <c r="F205" s="195"/>
      <c r="G205" s="30" t="str">
        <f>VLOOKUP($A205,Questions!$A$2:$X$333,21,0)&amp;""</f>
        <v>Yes</v>
      </c>
      <c r="H205" s="185"/>
      <c r="I205" s="45" t="str">
        <f>VLOOKUP($A205,Questions!$A$2:$X$333,23,0)&amp;""</f>
        <v>Critical Importance</v>
      </c>
      <c r="J205" s="185"/>
      <c r="K205" s="48" t="b">
        <v>0</v>
      </c>
      <c r="L205" s="1"/>
    </row>
    <row r="206" spans="1:12" s="29" customFormat="1" ht="409.6" x14ac:dyDescent="0.25">
      <c r="A206" s="19" t="str">
        <f>Infrastructure!$A$55</f>
        <v>FIDP-04</v>
      </c>
      <c r="B206" s="20" t="str">
        <f>VLOOKUP($A206,Infrastructure!$A$13:$E$74,2,0)&amp;""</f>
        <v>Do you employ host-based intrusion detection?*</v>
      </c>
      <c r="C206" s="45" t="str">
        <f>VLOOKUP($A206,Infrastructure!$A$13:$E$74,3,0)&amp;""</f>
        <v>No</v>
      </c>
      <c r="D206" s="34" t="str">
        <f>IF(LEFT(VLOOKUP($A206,Infrastructure!$A$13:$E$74,5,0),21)='Auto Responses'!$A$32,'Auto Responses'!$A$33,VLOOKUP($A206,Infrastructure!$A$13:$E$74,4,0))&amp;""</f>
        <v>Cursive does not currently operate dedicated host-based intrusion detection on production hosts. AWS-managed services (EKS, RDS, S3) inherit AWS's underlying host security controls. AWS GuardDuty (which includes runtime monitoring for EKS workloads via the EKS Runtime Monitoring feature) is under evaluation for deployment as part of the EKS rebuild. Until host-based IDS is deployed, compensating controls include AWS-managed service hardening, AWS IAM least-privilege scoping, container image scanning, and CloudTrail audit logging.</v>
      </c>
      <c r="E206" s="330" t="str">
        <f>VLOOKUP($A206,Infrastructure!$A$13:$E$74,5,0)&amp;""</f>
        <v>Describe your plan to implement host-based intrusion detection system capabilities in your environment.</v>
      </c>
      <c r="F206" s="195"/>
      <c r="G206" s="30" t="str">
        <f>VLOOKUP($A206,Questions!$A$2:$X$333,21,0)&amp;""</f>
        <v>Yes</v>
      </c>
      <c r="H206" s="185"/>
      <c r="I206" s="45" t="str">
        <f>VLOOKUP($A206,Questions!$A$2:$X$333,23,0)&amp;""</f>
        <v>Critical Importance</v>
      </c>
      <c r="J206" s="185"/>
      <c r="K206" s="48" t="b">
        <v>0</v>
      </c>
      <c r="L206" s="1"/>
    </row>
    <row r="207" spans="1:12" s="29" customFormat="1" ht="409.6" x14ac:dyDescent="0.25">
      <c r="A207" s="19" t="str">
        <f>Infrastructure!$A$56</f>
        <v>FIDP-05</v>
      </c>
      <c r="B207" s="20" t="str">
        <f>VLOOKUP($A207,Infrastructure!$A$13:$E$74,2,0)&amp;""</f>
        <v>Are audit logs available for all changes to the network, firewall, IDS, and IPS systems?*</v>
      </c>
      <c r="C207" s="45" t="str">
        <f>VLOOKUP($A207,Infrastructure!$A$13:$E$74,3,0)&amp;""</f>
        <v>Yes</v>
      </c>
      <c r="D207" s="34" t="str">
        <f>IF(LEFT(VLOOKUP($A207,Infrastructure!$A$13:$E$74,5,0),21)='Auto Responses'!$A$32,'Auto Responses'!$A$33,VLOOKUP($A207,Infrastructure!$A$13:$E$74,4,0))&amp;""</f>
        <v>Audit logs are available for all changes to network, firewall, and (when enabled) IDS configurations through AWS CloudTrail, which logs all AWS API calls including network and security configuration changes. CloudTrail logs are retained per the audit retention requirements in the Cursive Policies and Procedures (3+ years), are immutable, and are accessible to authorized Cursive personnel for review and to institutional customers under audit on contractual request. AWS Config (under deployment as part of the EKS rebuild) will provide additional configuration change tracking with point-in-time state history.</v>
      </c>
      <c r="E207" s="330" t="str">
        <f>VLOOKUP($A207,Infrastructure!$A$13:$E$74,5,0)&amp;""</f>
        <v>Describe your current network systems logging strategy.</v>
      </c>
      <c r="F207" s="195"/>
      <c r="G207" s="30" t="str">
        <f>VLOOKUP($A207,Questions!$A$2:$X$333,21,0)&amp;""</f>
        <v>Yes</v>
      </c>
      <c r="H207" s="185"/>
      <c r="I207" s="45" t="str">
        <f>VLOOKUP($A207,Questions!$A$2:$X$333,23,0)&amp;""</f>
        <v>Critical Importance</v>
      </c>
      <c r="J207" s="185"/>
      <c r="K207" s="48" t="b">
        <v>0</v>
      </c>
      <c r="L207" s="1"/>
    </row>
    <row r="208" spans="1:12" s="29" customFormat="1" ht="409.6" x14ac:dyDescent="0.25">
      <c r="A208" s="19" t="str">
        <f>Infrastructure!$A$57</f>
        <v>FIDP-06</v>
      </c>
      <c r="B208" s="20" t="str">
        <f>VLOOKUP($A208,Infrastructure!$A$13:$E$74,2,0)&amp;""</f>
        <v>Is authority for firewall change approval documented? Please list approver names or titles in Additional Info.</v>
      </c>
      <c r="C208" s="45" t="str">
        <f>VLOOKUP($A208,Infrastructure!$A$13:$E$74,3,0)&amp;""</f>
        <v>Yes</v>
      </c>
      <c r="D208" s="34" t="str">
        <f>IF(LEFT(VLOOKUP($A208,Infrastructure!$A$13:$E$74,5,0),21)='Auto Responses'!$A$32,'Auto Responses'!$A$33,VLOOKUP($A208,Infrastructure!$A$13:$E$74,4,0))&amp;""</f>
        <v>Authority for firewall and network configuration changes is documented in the Cursive Policies and Procedures. Approval authority: Joseph Thibault, Founder &amp; CEO (acting as Information Security Officer). Implementation authority: Joseph Thibault and the AWS engineering subprocessor (under direct Founder/CEO supervision and IAM-scoped access). Material changes affecting institutional security posture are subject to Security Impact Analysis and trigger institutional notification per HLSY-02. As Cursive scales, approval authority will be delegated to a designated infrastructure security role.</v>
      </c>
      <c r="E208" s="330" t="str">
        <f>VLOOKUP($A208,Infrastructure!$A$13:$E$74,5,0)&amp;""</f>
        <v>List approver names or titles.</v>
      </c>
      <c r="F208" s="195"/>
      <c r="G208" s="30" t="str">
        <f>VLOOKUP($A208,Questions!$A$2:$X$333,21,0)&amp;""</f>
        <v>Yes</v>
      </c>
      <c r="H208" s="185"/>
      <c r="I208" s="45" t="str">
        <f>VLOOKUP($A208,Questions!$A$2:$X$333,23,0)&amp;""</f>
        <v>Standard Importance</v>
      </c>
      <c r="J208" s="185"/>
      <c r="K208" s="48" t="b">
        <v>0</v>
      </c>
      <c r="L208" s="1"/>
    </row>
    <row r="209" spans="1:12" s="29" customFormat="1" ht="409.6" x14ac:dyDescent="0.25">
      <c r="A209" s="19" t="str">
        <f>Infrastructure!$A$58</f>
        <v>FIDP-07</v>
      </c>
      <c r="B209" s="20" t="str">
        <f>VLOOKUP($A209,Infrastructure!$A$13:$E$74,2,0)&amp;""</f>
        <v>Have you implemented an intrusion prevention system (network-based)?</v>
      </c>
      <c r="C209" s="45" t="str">
        <f>VLOOKUP($A209,Infrastructure!$A$13:$E$74,3,0)&amp;""</f>
        <v>No</v>
      </c>
      <c r="D209" s="34" t="str">
        <f>IF(LEFT(VLOOKUP($A209,Infrastructure!$A$13:$E$74,5,0),21)='Auto Responses'!$A$32,'Auto Responses'!$A$33,VLOOKUP($A209,Infrastructure!$A$13:$E$74,4,0))&amp;""</f>
        <v>Cursive does not currently operate a dedicated network-based intrusion prevention system. Network-layer protection is provided through AWS Network Firewall stateful inspection (which provides some IPS-like capabilities including signature-based filtering) and AWS-native DDoS protection (Shield Standard, included with all AWS accounts). Dedicated IPS deployment via AWS WAF and AWS GuardDuty (with automated response actions) is on the infrastructure roadmap as part of the EKS rebuild and AWS security certification effort.</v>
      </c>
      <c r="E209" s="330" t="str">
        <f>VLOOKUP($A209,Infrastructure!$A$13:$E$74,5,0)&amp;""</f>
        <v>Describe your plan to implement an intrusion prevention system in your environment.</v>
      </c>
      <c r="F209" s="195"/>
      <c r="G209" s="30" t="str">
        <f>VLOOKUP($A209,Questions!$A$2:$X$333,21,0)&amp;""</f>
        <v>Yes</v>
      </c>
      <c r="H209" s="185"/>
      <c r="I209" s="45" t="str">
        <f>VLOOKUP($A209,Questions!$A$2:$X$333,23,0)&amp;""</f>
        <v>Standard Importance</v>
      </c>
      <c r="J209" s="185"/>
      <c r="K209" s="48" t="b">
        <v>0</v>
      </c>
      <c r="L209" s="1"/>
    </row>
    <row r="210" spans="1:12" s="29" customFormat="1" ht="409.6" x14ac:dyDescent="0.25">
      <c r="A210" s="19" t="str">
        <f>Infrastructure!$A$59</f>
        <v>FIDP-08</v>
      </c>
      <c r="B210" s="20" t="str">
        <f>VLOOKUP($A210,Infrastructure!$A$13:$E$74,2,0)&amp;""</f>
        <v>Do you employ host-based intrusion prevention?</v>
      </c>
      <c r="C210" s="45" t="str">
        <f>VLOOKUP($A210,Infrastructure!$A$13:$E$74,3,0)&amp;""</f>
        <v>No</v>
      </c>
      <c r="D210" s="34" t="str">
        <f>IF(LEFT(VLOOKUP($A210,Infrastructure!$A$13:$E$74,5,0),21)='Auto Responses'!$A$32,'Auto Responses'!$A$33,VLOOKUP($A210,Infrastructure!$A$13:$E$74,4,0))&amp;""</f>
        <v>Cursive does not currently operate dedicated host-based intrusion prevention. Host hardening is inherited from AWS-managed services and AWS-provided pre-hardened components. Container security via EKS will incorporate runtime threat detection and response capabilities once GuardDuty EKS Runtime Monitoring is enabled. Compensating controls include AWS IAM least-privilege scoping, container image scanning during the build pipeline, network segmentation via Security Groups, and CloudTrail audit logging.</v>
      </c>
      <c r="E210" s="330" t="str">
        <f>VLOOKUP($A210,Infrastructure!$A$13:$E$74,5,0)&amp;""</f>
        <v>Describe your plan to implement host-based intrusion prevention system capabilities in your environment.</v>
      </c>
      <c r="F210" s="195"/>
      <c r="G210" s="30" t="str">
        <f>VLOOKUP($A210,Questions!$A$2:$X$333,21,0)&amp;""</f>
        <v>Yes</v>
      </c>
      <c r="H210" s="185"/>
      <c r="I210" s="45" t="str">
        <f>VLOOKUP($A210,Questions!$A$2:$X$333,23,0)&amp;""</f>
        <v>Standard Importance</v>
      </c>
      <c r="J210" s="185"/>
      <c r="K210" s="48" t="b">
        <v>0</v>
      </c>
      <c r="L210" s="1"/>
    </row>
    <row r="211" spans="1:12" s="29" customFormat="1" ht="405" x14ac:dyDescent="0.25">
      <c r="A211" s="19" t="str">
        <f>Infrastructure!$A$60</f>
        <v>FIDP-09</v>
      </c>
      <c r="B211" s="20" t="str">
        <f>VLOOKUP($A211,Infrastructure!$A$13:$E$74,2,0)&amp;""</f>
        <v>Are you employing any next-generation persistent threat (NGPT) monitoring?</v>
      </c>
      <c r="C211" s="45" t="str">
        <f>VLOOKUP($A211,Infrastructure!$A$13:$E$74,3,0)&amp;""</f>
        <v>No</v>
      </c>
      <c r="D211" s="34" t="str">
        <f>IF(LEFT(VLOOKUP($A211,Infrastructure!$A$13:$E$74,5,0),21)='Auto Responses'!$A$32,'Auto Responses'!$A$33,VLOOKUP($A211,Infrastructure!$A$13:$E$74,4,0))&amp;""</f>
        <v>Cursive does not currently employ a dedicated next-generation persistent threat (NGPT) monitoring solution. AWS GuardDuty provides managed threat detection capabilities aligned with NGPT objectives (including detection of compromised instances, reconnaissance activity, and malicious behavior patterns) and is under evaluation for deployment as part of the EKS rebuild. AWS Security Hub will provide centralized security finding aggregation once deployed.</v>
      </c>
      <c r="E211" s="330" t="str">
        <f>VLOOKUP($A211,Infrastructure!$A$13:$E$74,5,0)&amp;""</f>
        <v>Describe your intent to implement NGPT monitoring.</v>
      </c>
      <c r="F211" s="195"/>
      <c r="G211" s="30" t="str">
        <f>VLOOKUP($A211,Questions!$A$2:$X$333,21,0)&amp;""</f>
        <v>Yes</v>
      </c>
      <c r="H211" s="185"/>
      <c r="I211" s="45" t="str">
        <f>VLOOKUP($A211,Questions!$A$2:$X$333,23,0)&amp;""</f>
        <v>Standard Importance</v>
      </c>
      <c r="J211" s="185"/>
      <c r="K211" s="48" t="b">
        <v>0</v>
      </c>
      <c r="L211" s="1"/>
    </row>
    <row r="212" spans="1:12" s="29" customFormat="1" ht="409.6" x14ac:dyDescent="0.25">
      <c r="A212" s="19" t="str">
        <f>Infrastructure!$A$61</f>
        <v>FIDP-10</v>
      </c>
      <c r="B212" s="20" t="str">
        <f>VLOOKUP($A212,Infrastructure!$A$13:$E$74,2,0)&amp;""</f>
        <v>Is intrusion monitoring performed internally or by a third-party service?</v>
      </c>
      <c r="C212" s="45" t="str">
        <f>VLOOKUP($A212,Infrastructure!$A$13:$E$74,3,0)&amp;""</f>
        <v xml:space="preserve">Intrusion monitoring is performed internally by Cursive, leveraging AWS-native managed services (CloudTrail, Network Firewall, Security Groups). Once AWS GuardDuty is enabled, monitoring will combine AWS-managed threat detection (functionally equivalent to a managed third-party service) with internal review and response by Cursive personnel. Cursive does not currently engage a dedicated third-party Managed Detection and Response (MDR) provider; for institutions requiring 24x7 third-party SOC monitoring, this can be evaluated as part of an institutional engagement.
</v>
      </c>
      <c r="D212" s="34" t="str">
        <f>IF(LEFT(VLOOKUP($A212,Infrastructure!$A$13:$E$74,5,0),21)='Auto Responses'!$A$32,'Auto Responses'!$A$33,VLOOKUP($A212,Infrastructure!$A$13:$E$74,4,0))&amp;""</f>
        <v/>
      </c>
      <c r="E212" s="330" t="str">
        <f>VLOOKUP($A212,Infrastructure!$A$13:$E$74,5,0)&amp;""</f>
        <v>In addition to stating your intrusion monitoring strategy, provide a brief summary of its implementation.</v>
      </c>
      <c r="F212" s="195"/>
      <c r="G212" s="30" t="str">
        <f>VLOOKUP($A212,Questions!$A$2:$X$333,21,0)&amp;""</f>
        <v>Not scored</v>
      </c>
      <c r="H212" s="185"/>
      <c r="I212" s="45" t="str">
        <f>VLOOKUP($A212,Questions!$A$2:$X$333,23,0)&amp;""</f>
        <v/>
      </c>
      <c r="J212" s="185"/>
      <c r="K212" s="48" t="b">
        <v>0</v>
      </c>
      <c r="L212" s="1"/>
    </row>
    <row r="213" spans="1:12" s="29" customFormat="1" ht="409.6" x14ac:dyDescent="0.25">
      <c r="A213" s="19" t="str">
        <f>Infrastructure!$A$62</f>
        <v>FIDP-11</v>
      </c>
      <c r="B213" s="20" t="str">
        <f>VLOOKUP($A213,Infrastructure!$A$13:$E$74,2,0)&amp;""</f>
        <v>Do you monitor for intrusions on a 24 x 7 x 365 basis?</v>
      </c>
      <c r="C213" s="45" t="str">
        <f>VLOOKUP($A213,Infrastructure!$A$13:$E$74,3,0)&amp;""</f>
        <v>No</v>
      </c>
      <c r="D213" s="34" t="str">
        <f>IF(LEFT(VLOOKUP($A213,Infrastructure!$A$13:$E$74,5,0),21)='Auto Responses'!$A$32,'Auto Responses'!$A$33,VLOOKUP($A213,Infrastructure!$A$13:$E$74,4,0))&amp;""</f>
        <v xml:space="preserve">AWS-native services (CloudTrail, Network Firewall, GuardDuty when enabled) provide 24x7 automated monitoring with alerting. Human response is provided by Cursive personnel during business hours; out-of-hours alerts are delivered via on-call notification to the Founder/CEO. Cursive does not currently maintain 24x7 staffed monitoring with sub-hour response time given current company size — Maximum Tolerable Downtime is documented as two business days per the Incident Response Plan, with critical-severity remediation within 7 days. For institutional engagements requiring stricter response SLAs, a third-party MDR engagement can be evaluated.
</v>
      </c>
      <c r="E213" s="330" t="str">
        <f>VLOOKUP($A213,Infrastructure!$A$13:$E$74,5,0)&amp;""</f>
        <v>State plans to implement 24 x 7 x 365 intrusion monitoring in your environment(s).</v>
      </c>
      <c r="F213" s="195"/>
      <c r="G213" s="30" t="str">
        <f>VLOOKUP($A213,Questions!$A$2:$X$333,21,0)&amp;""</f>
        <v>Yes</v>
      </c>
      <c r="H213" s="185"/>
      <c r="I213" s="45" t="str">
        <f>VLOOKUP($A213,Questions!$A$2:$X$333,23,0)&amp;""</f>
        <v>Minor Importance</v>
      </c>
      <c r="J213" s="185"/>
      <c r="K213" s="48" t="b">
        <v>0</v>
      </c>
      <c r="L213" s="1"/>
    </row>
    <row r="214" spans="1:12" s="1" customFormat="1" ht="17.399999999999999" x14ac:dyDescent="0.25">
      <c r="A214" s="63" t="str">
        <f>VLOOKUP(LEFT($A215,4),'Auto Responses'!$N$4:$O$38,2,0)&amp;""</f>
        <v xml:space="preserve"> Incident Handling</v>
      </c>
      <c r="B214" s="22"/>
      <c r="C214" s="31"/>
      <c r="D214" s="31"/>
      <c r="E214" s="331"/>
      <c r="F214" s="131" t="s">
        <v>1030</v>
      </c>
      <c r="G214" s="335" t="s">
        <v>869</v>
      </c>
      <c r="H214" s="335" t="s">
        <v>871</v>
      </c>
      <c r="I214" s="335" t="s">
        <v>19</v>
      </c>
      <c r="J214" s="335" t="s">
        <v>856</v>
      </c>
      <c r="K214" s="335" t="s">
        <v>867</v>
      </c>
    </row>
    <row r="215" spans="1:12" s="29" customFormat="1" ht="409.6" x14ac:dyDescent="0.25">
      <c r="A215" s="19" t="str">
        <f>Infrastructure!$A$64</f>
        <v>HFIH-01</v>
      </c>
      <c r="B215" s="20" t="str">
        <f>VLOOKUP($A215,Infrastructure!$A$13:$E$74,2,0)&amp;""</f>
        <v>Do you have a formal incident response plan?</v>
      </c>
      <c r="C215" s="45" t="str">
        <f>VLOOKUP($A215,Infrastructure!$A$13:$E$74,3,0)&amp;""</f>
        <v>Yes</v>
      </c>
      <c r="D215" s="34" t="str">
        <f>IF(LEFT(VLOOKUP($A215,Infrastructure!$A$13:$E$74,5,0),21)='Auto Responses'!$A$32,'Auto Responses'!$A$33,VLOOKUP($A215,Infrastructure!$A$13:$E$74,4,0))&amp;""</f>
        <v>Cursive maintains a formal documented Incident Response Plan as part of the Cursive Policies and Procedures. The plan covers awareness/identification, Maximum Tolerable Downtime (two business days, excluding weekends and holidays), Recovery Time Objective (72 hours), mobilization of internal and external resources, communication cadence (initial acknowledgement, daily updates, all-clear notification), and remediation. Severity-based remediation timelines are defined: Critical risk within 7 days; High risk within 30 days; Medium risk within 60 days; Low risk within 90 days. Breach notification commitment: within 24 hours of confirmed breach to affected institutional customers, with downstream end-user notification coordinated with the institution. The plan is tested at least annually through an approved test scenario including oral walk-through.</v>
      </c>
      <c r="E215" s="330" t="str">
        <f>VLOOKUP($A215,Infrastructure!$A$13:$E$74,5,0)&amp;""</f>
        <v>Summarize or provide a link to your formal incident response plan.</v>
      </c>
      <c r="F215" s="195"/>
      <c r="G215" s="30" t="str">
        <f>VLOOKUP($A215,Questions!$A$2:$X$333,21,0)&amp;""</f>
        <v>Yes</v>
      </c>
      <c r="H215" s="185"/>
      <c r="I215" s="45" t="str">
        <f>VLOOKUP($A215,Questions!$A$2:$X$333,23,0)&amp;""</f>
        <v>Standard Importance</v>
      </c>
      <c r="J215" s="185"/>
      <c r="K215" s="48" t="b">
        <v>0</v>
      </c>
      <c r="L215" s="1"/>
    </row>
    <row r="216" spans="1:12" s="29" customFormat="1" ht="409.6" x14ac:dyDescent="0.25">
      <c r="A216" s="19" t="str">
        <f>Infrastructure!$A$65</f>
        <v>HFIH-02</v>
      </c>
      <c r="B216" s="20" t="str">
        <f>VLOOKUP($A216,Infrastructure!$A$13:$E$74,2,0)&amp;""</f>
        <v>Do you either have an internal incident response team or retain an external team?</v>
      </c>
      <c r="C216" s="45" t="str">
        <f>VLOOKUP($A216,Infrastructure!$A$13:$E$74,3,0)&amp;""</f>
        <v>Yes</v>
      </c>
      <c r="D216" s="34" t="str">
        <f>IF(LEFT(VLOOKUP($A216,Infrastructure!$A$13:$E$74,5,0),21)='Auto Responses'!$A$32,'Auto Responses'!$A$33,VLOOKUP($A216,Infrastructure!$A$13:$E$74,4,0))&amp;""</f>
        <v>Cursive operates an internal incident response team, with the Founder/CEO serving as the named incident response lead and Information Security Officer. The internal team is augmented by the AWS engineering subprocessor for infrastructure-layer incidents and by external counsel for legal and breach-notification matters. For institutions requiring third-party Managed Detection and Response (MDR) integration, an external MDR engagement can be evaluated as part of the institutional contract scope.</v>
      </c>
      <c r="E216" s="330" t="str">
        <f>VLOOKUP($A216,Infrastructure!$A$13:$E$74,5,0)&amp;""</f>
        <v>Summarize your incident response and reporting processes.</v>
      </c>
      <c r="F216" s="195"/>
      <c r="G216" s="30" t="str">
        <f>VLOOKUP($A216,Questions!$A$2:$X$333,21,0)&amp;""</f>
        <v>Yes</v>
      </c>
      <c r="H216" s="185"/>
      <c r="I216" s="45" t="str">
        <f>VLOOKUP($A216,Questions!$A$2:$X$333,23,0)&amp;""</f>
        <v>Minor Importance</v>
      </c>
      <c r="J216" s="185"/>
      <c r="K216" s="48" t="b">
        <v>0</v>
      </c>
      <c r="L216" s="1"/>
    </row>
    <row r="217" spans="1:12" s="29" customFormat="1" ht="409.6" x14ac:dyDescent="0.25">
      <c r="A217" s="19" t="str">
        <f>Infrastructure!$A$66</f>
        <v>HFIH-03</v>
      </c>
      <c r="B217" s="20" t="str">
        <f>VLOOKUP($A217,Infrastructure!$A$13:$E$74,2,0)&amp;""</f>
        <v>Do you have the capability to respond to incidents on a 24 x 7 x 365 basis?</v>
      </c>
      <c r="C217" s="45" t="str">
        <f>VLOOKUP($A217,Infrastructure!$A$13:$E$74,3,0)&amp;""</f>
        <v>Yes</v>
      </c>
      <c r="D217" s="34" t="str">
        <f>IF(LEFT(VLOOKUP($A217,Infrastructure!$A$13:$E$74,5,0),21)='Auto Responses'!$A$32,'Auto Responses'!$A$33,VLOOKUP($A217,Infrastructure!$A$13:$E$74,4,0))&amp;""</f>
        <v xml:space="preserve">Cursive's incident response plan provides 24x7x365 response capability. Initial detection and alerting are automated through AWS-native monitoring (CloudTrail, CloudWatch alarms, Network Firewall logs, GuardDuty when enabled). Out-of-hours alerts are delivered via on-call notification to the Founder/CEO. Triage and remediation are initiated upon awareness, with the documented severity-based remediation timelines beginning at the time of confirmed incident. Maximum Tolerable Downtime is documented as two business days per the Incident Response Plan; critical-severity issues are addressed within 7 days regardless of when detected.
</v>
      </c>
      <c r="E217" s="330" t="str">
        <f>VLOOKUP($A217,Infrastructure!$A$13:$E$74,5,0)&amp;""</f>
        <v>Summarize your internal approach or reference your third-party contractor.</v>
      </c>
      <c r="F217" s="195"/>
      <c r="G217" s="30" t="str">
        <f>VLOOKUP($A217,Questions!$A$2:$X$333,21,0)&amp;""</f>
        <v>Yes</v>
      </c>
      <c r="H217" s="185"/>
      <c r="I217" s="45" t="str">
        <f>VLOOKUP($A217,Questions!$A$2:$X$333,23,0)&amp;""</f>
        <v>Minor Importance</v>
      </c>
      <c r="J217" s="185"/>
      <c r="K217" s="48" t="b">
        <v>0</v>
      </c>
      <c r="L217" s="1"/>
    </row>
    <row r="218" spans="1:12" s="29" customFormat="1" ht="113.4" x14ac:dyDescent="0.25">
      <c r="A218" s="19" t="str">
        <f>Infrastructure!$A$67</f>
        <v>HFIH-04</v>
      </c>
      <c r="B218" s="20" t="str">
        <f>VLOOKUP($A218,Infrastructure!$A$13:$E$74,2,0)&amp;""</f>
        <v>Do you carry cyber-risk insurance to protect against unforeseen service outages, data that is lost or stolen, and security incidents?</v>
      </c>
      <c r="C218" s="45" t="str">
        <f>VLOOKUP($A218,Infrastructure!$A$13:$E$74,3,0)&amp;""</f>
        <v>Yes</v>
      </c>
      <c r="D218" s="34" t="str">
        <f>IF(LEFT(VLOOKUP($A218,Infrastructure!$A$13:$E$74,5,0),21)='Auto Responses'!$A$32,'Auto Responses'!$A$33,VLOOKUP($A218,Infrastructure!$A$13:$E$74,4,0))&amp;""</f>
        <v>Cyber risk insurance through The Hanover Insurance Group of Towson, MD. Coverage limits and policy details available under NDA on institutional request.</v>
      </c>
      <c r="E218" s="330" t="str">
        <f>VLOOKUP($A218,Infrastructure!$A$13:$E$74,5,0)&amp;""</f>
        <v>Describe the coverage in place for this solution.</v>
      </c>
      <c r="F218" s="195"/>
      <c r="G218" s="30" t="str">
        <f>VLOOKUP($A218,Questions!$A$2:$X$333,21,0)&amp;""</f>
        <v>Yes</v>
      </c>
      <c r="H218" s="185"/>
      <c r="I218" s="45" t="str">
        <f>VLOOKUP($A218,Questions!$A$2:$X$333,23,0)&amp;""</f>
        <v>Minor Importance</v>
      </c>
      <c r="J218" s="185"/>
      <c r="K218" s="48" t="b">
        <v>0</v>
      </c>
      <c r="L218" s="1"/>
    </row>
    <row r="219" spans="1:12" s="1" customFormat="1" ht="17.399999999999999" x14ac:dyDescent="0.25">
      <c r="A219" s="63" t="str">
        <f>VLOOKUP(LEFT($A220,4),'Auto Responses'!$N$4:$O$38,2,0)&amp;""</f>
        <v xml:space="preserve"> Vulnerability Management</v>
      </c>
      <c r="B219" s="22"/>
      <c r="C219" s="31"/>
      <c r="D219" s="31"/>
      <c r="E219" s="331"/>
      <c r="F219" s="131" t="s">
        <v>1030</v>
      </c>
      <c r="G219" s="335" t="s">
        <v>869</v>
      </c>
      <c r="H219" s="335" t="s">
        <v>871</v>
      </c>
      <c r="I219" s="335" t="s">
        <v>19</v>
      </c>
      <c r="J219" s="335" t="s">
        <v>856</v>
      </c>
      <c r="K219" s="335" t="s">
        <v>867</v>
      </c>
    </row>
    <row r="220" spans="1:12" s="29" customFormat="1" ht="409.6" x14ac:dyDescent="0.25">
      <c r="A220" s="19" t="str">
        <f>Infrastructure!$A$69</f>
        <v>VULN-01</v>
      </c>
      <c r="B220" s="20" t="str">
        <f>VLOOKUP($A220,Infrastructure!$A$13:$E$74,2,0)&amp;""</f>
        <v>Are your systems and applications scanned with an authenticated user account for vulnerabilities (that are remediated) prior to new releases?*</v>
      </c>
      <c r="C220" s="45" t="str">
        <f>VLOOKUP($A220,Infrastructure!$A$13:$E$74,3,0)&amp;""</f>
        <v>No</v>
      </c>
      <c r="D220" s="34" t="str">
        <f>IF(LEFT(VLOOKUP($A220,Infrastructure!$A$13:$E$74,5,0),21)='Auto Responses'!$A$32,'Auto Responses'!$A$33,VLOOKUP($A220,Infrastructure!$A$13:$E$74,4,0))&amp;""</f>
        <v xml:space="preserve">Partly - Vulnerability scanning is performed during development and pre-release through GitHub-native tooling (Dependabot for dependency vulnerability monitoring, CodeQL for code analysis where applicable). Identified vulnerabilities are tracked in the Plan of Action and Milestones (POAM) and Linear ticket workflow with severity-based remediation timelines (Critical: 7 days; High: 30 days; Medium: 60 days; Low: 90 days). Authenticated user-account-based vulnerability scanning of production systems via dedicated SAST/DAST tooling is not currently performed on every release; this is on the application security roadmap as part of the AWS security certification effort and EKS rebuild. Most recent third-party authenticated vulnerability scan: Tenable Nessus, December 2023 / January 2024. Next formal third-party assessment is being scheduled as part of the AWS security certification work currently underway.
</v>
      </c>
      <c r="E220" s="330" t="str">
        <f>VLOOKUP($A220,Infrastructure!$A$13:$E$74,5,0)&amp;""</f>
        <v>Describe plans to implement application vulnerability scanning (and remediation) prior to release.</v>
      </c>
      <c r="F220" s="195"/>
      <c r="G220" s="30" t="str">
        <f>VLOOKUP($A220,Questions!$A$2:$X$333,21,0)&amp;""</f>
        <v>Yes</v>
      </c>
      <c r="H220" s="185"/>
      <c r="I220" s="45" t="str">
        <f>VLOOKUP($A220,Questions!$A$2:$X$333,23,0)&amp;""</f>
        <v>Critical Importance</v>
      </c>
      <c r="J220" s="185"/>
      <c r="K220" s="48" t="b">
        <v>0</v>
      </c>
      <c r="L220" s="1"/>
    </row>
    <row r="221" spans="1:12" s="29" customFormat="1" ht="409.6" x14ac:dyDescent="0.25">
      <c r="A221" s="19" t="str">
        <f>Infrastructure!$A$70</f>
        <v>VULN-02</v>
      </c>
      <c r="B221" s="20" t="str">
        <f>VLOOKUP($A221,Infrastructure!$A$13:$E$74,2,0)&amp;""</f>
        <v>Will you provide results of application and system vulnerability scans to the institution?*</v>
      </c>
      <c r="C221" s="45" t="str">
        <f>VLOOKUP($A221,Infrastructure!$A$13:$E$74,3,0)&amp;""</f>
        <v>Yes</v>
      </c>
      <c r="D221" s="34" t="str">
        <f>IF(LEFT(VLOOKUP($A221,Infrastructure!$A$13:$E$74,5,0),21)='Auto Responses'!$A$32,'Auto Responses'!$A$33,VLOOKUP($A221,Infrastructure!$A$13:$E$74,4,0))&amp;""</f>
        <v>Cursive will provide vulnerability scan results to institutional customers under NDA on request. Results from third-party assessments (e.g., Tenable Nessus assessment from December 2023 / January 2024) are available; results from future assessments scheduled as part of the AWS security certification work will similarly be available. Active findings tracked in the POAM are also shareable under NDA. Cursive's standard practice is to redact vulnerability details that could enable exploitation if disclosed prematurely; institutions can review summary findings, severity ratings, and remediation status.</v>
      </c>
      <c r="E221" s="330" t="str">
        <f>VLOOKUP($A221,Infrastructure!$A$13:$E$74,5,0)&amp;""</f>
        <v>Provide a reference to security scan documentation.</v>
      </c>
      <c r="F221" s="195"/>
      <c r="G221" s="30" t="str">
        <f>VLOOKUP($A221,Questions!$A$2:$X$333,21,0)&amp;""</f>
        <v>Yes</v>
      </c>
      <c r="H221" s="185"/>
      <c r="I221" s="45" t="str">
        <f>VLOOKUP($A221,Questions!$A$2:$X$333,23,0)&amp;""</f>
        <v>Critical Importance</v>
      </c>
      <c r="J221" s="185"/>
      <c r="K221" s="48" t="b">
        <v>0</v>
      </c>
      <c r="L221" s="1"/>
    </row>
    <row r="222" spans="1:12" s="29" customFormat="1" ht="409.6" x14ac:dyDescent="0.25">
      <c r="A222" s="19" t="str">
        <f>Infrastructure!$A$71</f>
        <v>VULN-03</v>
      </c>
      <c r="B222" s="20" t="str">
        <f>VLOOKUP($A222,Infrastructure!$A$13:$E$74,2,0)&amp;""</f>
        <v>Will you allow the institution to perform its own vulnerability testing and/or scanning of your systems and/or application, provided that testing is performed at a mutually agreed upon time and date?*</v>
      </c>
      <c r="C222" s="45" t="str">
        <f>VLOOKUP($A222,Infrastructure!$A$13:$E$74,3,0)&amp;""</f>
        <v>Yes</v>
      </c>
      <c r="D222" s="34" t="str">
        <f>IF(LEFT(VLOOKUP($A222,Infrastructure!$A$13:$E$74,5,0),21)='Auto Responses'!$A$32,'Auto Responses'!$A$33,VLOOKUP($A222,Infrastructure!$A$13:$E$74,4,0))&amp;""</f>
        <v>Cursive will permit institutional vulnerability testing of TypeID systems at a mutually agreed time and date, with appropriate scope, rules of engagement, and notification. Testing terms (scope, methodology, target environments, data handling, communication, post-test reporting) are negotiated as part of the institutional engagement, typically through the master services agreement or a dedicated penetration testing addendum. Testing should target Cursive-controlled infrastructure (TypeID API, Moodle plugin, browser extension); testing of underlying AWS infrastructure must comply with AWS's published Penetration Testing policy.</v>
      </c>
      <c r="E222" s="330" t="str">
        <f>VLOOKUP($A222,Infrastructure!$A$13:$E$74,5,0)&amp;""</f>
        <v>Provide reference to the process or procedure to set up security testing times and scopes.</v>
      </c>
      <c r="F222" s="195"/>
      <c r="G222" s="30" t="str">
        <f>VLOOKUP($A222,Questions!$A$2:$X$333,21,0)&amp;""</f>
        <v>Yes</v>
      </c>
      <c r="H222" s="185"/>
      <c r="I222" s="45" t="str">
        <f>VLOOKUP($A222,Questions!$A$2:$X$333,23,0)&amp;""</f>
        <v>Critical Importance</v>
      </c>
      <c r="J222" s="185"/>
      <c r="K222" s="48" t="b">
        <v>0</v>
      </c>
      <c r="L222" s="1"/>
    </row>
    <row r="223" spans="1:12" s="29" customFormat="1" ht="409.6" x14ac:dyDescent="0.25">
      <c r="A223" s="19" t="str">
        <f>Infrastructure!$A$72</f>
        <v>VULN-04</v>
      </c>
      <c r="B223" s="20" t="str">
        <f>VLOOKUP($A223,Infrastructure!$A$13:$E$74,2,0)&amp;""</f>
        <v>Have your systems and applications had a third-party security assessment completed in the last year?</v>
      </c>
      <c r="C223" s="45" t="str">
        <f>VLOOKUP($A223,Infrastructure!$A$13:$E$74,3,0)&amp;""</f>
        <v>Yes</v>
      </c>
      <c r="D223" s="34" t="str">
        <f>IF(LEFT(VLOOKUP($A223,Infrastructure!$A$13:$E$74,5,0),21)='Auto Responses'!$A$32,'Auto Responses'!$A$33,VLOOKUP($A223,Infrastructure!$A$13:$E$74,4,0))&amp;""</f>
        <v xml:space="preserve">The most recent third-party security assessment was conducted in December 2023 / January 2024 by Tenable Nessus — outside the one-year window. A new third-party assessment is being scheduled as part of the AWS security certification work currently underway with the dedicated AWS engineering subprocessor and EKS rebuild. Continuous monitoring via AWS-native tools (CloudTrail, Network Firewall logs, GuardDuty under evaluation) provides ongoing security visibility between formal third-party assessments. Cursive will commit to a third-party assessment cadence of at least annually as part of the SOC 2 Type 2 attestation work scoped on the security roadmap.
</v>
      </c>
      <c r="E223" s="330" t="str">
        <f>VLOOKUP($A223,Infrastructure!$A$13:$E$74,5,0)&amp;""</f>
        <v>Provide the results with this document (link or attached), if possible. State the date of the last completed third-party security assessment.</v>
      </c>
      <c r="F223" s="195"/>
      <c r="G223" s="30" t="str">
        <f>VLOOKUP($A223,Questions!$A$2:$X$333,21,0)&amp;""</f>
        <v>Yes</v>
      </c>
      <c r="H223" s="185"/>
      <c r="I223" s="45" t="str">
        <f>VLOOKUP($A223,Questions!$A$2:$X$333,23,0)&amp;""</f>
        <v>Standard Importance</v>
      </c>
      <c r="J223" s="185"/>
      <c r="K223" s="48" t="b">
        <v>0</v>
      </c>
      <c r="L223" s="1"/>
    </row>
    <row r="224" spans="1:12" s="29" customFormat="1" ht="409.6" x14ac:dyDescent="0.25">
      <c r="A224" s="19" t="str">
        <f>Infrastructure!$A$73</f>
        <v>VULN-05</v>
      </c>
      <c r="B224" s="20" t="str">
        <f>VLOOKUP($A224,Infrastructure!$A$13:$E$74,2,0)&amp;""</f>
        <v>Do you regularly scan for common web application security vulnerabilities (e.g., SQL injection, XSS, XSRF, etc.)?</v>
      </c>
      <c r="C224" s="45" t="str">
        <f>VLOOKUP($A224,Infrastructure!$A$13:$E$74,3,0)&amp;""</f>
        <v>Yes</v>
      </c>
      <c r="D224" s="34" t="str">
        <f>IF(LEFT(VLOOKUP($A224,Infrastructure!$A$13:$E$74,5,0),21)='Auto Responses'!$A$32,'Auto Responses'!$A$33,VLOOKUP($A224,Infrastructure!$A$13:$E$74,4,0))&amp;""</f>
        <v xml:space="preserve">Cursive scans for common web application security vulnerabilities (SQL injection, XSS, XSRF, CSRF, insecure direct object references, authentication/authorization flaws, etc.) through several layers: (1) GitHub-native code analysis tooling (CodeQL where applicable, Dependabot for dependency vulnerabilities); (2) defensive coding practices in the SDLC including input validation, schema enforcement, parameterized queries, HMAC-signed token authentication, and TLS 1.2+ on all traffic; (3) manual code review during the pull request workflow including OWASP Top 10 considerations; (4) periodic third-party assessments (most recent: Tenable Nessus, Dec 2023 / Jan 2024). Dedicated commercial DAST tooling (e.g., Burp Suite Professional, OWASP ZAP automated scanning, or commercial DAST platforms) is on the application security roadmap as part of the EKS rebuild.
</v>
      </c>
      <c r="E224" s="330" t="str">
        <f>VLOOKUP($A224,Infrastructure!$A$13:$E$74,5,0)&amp;""</f>
        <v>Ensure that all elements of VULN-05 are clearly stated in your response.</v>
      </c>
      <c r="F224" s="195"/>
      <c r="G224" s="30" t="str">
        <f>VLOOKUP($A224,Questions!$A$2:$X$333,21,0)&amp;""</f>
        <v>Yes</v>
      </c>
      <c r="H224" s="185"/>
      <c r="I224" s="45" t="str">
        <f>VLOOKUP($A224,Questions!$A$2:$X$333,23,0)&amp;""</f>
        <v>Standard Importance</v>
      </c>
      <c r="J224" s="185"/>
      <c r="K224" s="48" t="b">
        <v>0</v>
      </c>
      <c r="L224" s="1"/>
    </row>
    <row r="225" spans="1:12" s="29" customFormat="1" ht="409.6" thickBot="1" x14ac:dyDescent="0.3">
      <c r="A225" s="19" t="str">
        <f>Infrastructure!$A$74</f>
        <v>VULN-06</v>
      </c>
      <c r="B225" s="20" t="str">
        <f>VLOOKUP($A225,Infrastructure!$A$13:$E$74,2,0)&amp;""</f>
        <v>Are your systems and applications regularly scanned externally for vulnerabilities?</v>
      </c>
      <c r="C225" s="45" t="str">
        <f>VLOOKUP($A225,Infrastructure!$A$13:$E$74,3,0)&amp;""</f>
        <v>No</v>
      </c>
      <c r="D225" s="34" t="str">
        <f>IF(LEFT(VLOOKUP($A225,Infrastructure!$A$13:$E$74,5,0),21)='Auto Responses'!$A$32,'Auto Responses'!$A$33,VLOOKUP($A225,Infrastructure!$A$13:$E$74,4,0))&amp;""</f>
        <v xml:space="preserve">In part - External vulnerability monitoring is provided through AWS-native services including AWS Network Firewall (with managed threat signature rules), AWS Shield Standard (DDoS protection, included with all AWS accounts), and AWS GuardDuty (under evaluation for deployment as part of the EKS rebuild. Once enabled, will provide continuous external threat detection including reconnaissance, malicious traffic patterns, and compromised-instance detection). Most recent formal external vulnerability scan: Tenable Nessus, December 2023 / January 2024. Continuous external automated scanning via dedicated commercial tooling is on the security roadmap.
</v>
      </c>
      <c r="E225" s="330" t="str">
        <f>VLOOKUP($A225,Infrastructure!$A$13:$E$74,5,0)&amp;""</f>
        <v>Describe any plans to implement external vulnerability scanning for your applications.</v>
      </c>
      <c r="F225" s="195"/>
      <c r="G225" s="30" t="str">
        <f>VLOOKUP($A225,Questions!$A$2:$X$333,21,0)&amp;""</f>
        <v>Yes</v>
      </c>
      <c r="H225" s="185"/>
      <c r="I225" s="45" t="str">
        <f>VLOOKUP($A225,Questions!$A$2:$X$333,23,0)&amp;""</f>
        <v>Minor Importance</v>
      </c>
      <c r="J225" s="185"/>
      <c r="K225" s="49" t="b">
        <v>0</v>
      </c>
      <c r="L225" s="1"/>
    </row>
    <row r="226" spans="1:12" s="1" customFormat="1" ht="17.399999999999999" x14ac:dyDescent="0.25">
      <c r="A226" s="63" t="str">
        <f>VLOOKUP(LEFT($A227,4),'Auto Responses'!$N$4:$O$38,2,0)&amp;""</f>
        <v xml:space="preserve"> IT Accessibility</v>
      </c>
      <c r="B226" s="22"/>
      <c r="C226" s="31"/>
      <c r="D226" s="31"/>
      <c r="E226" s="331"/>
      <c r="F226" s="131" t="s">
        <v>1030</v>
      </c>
      <c r="G226" s="335" t="s">
        <v>869</v>
      </c>
      <c r="H226" s="335" t="s">
        <v>871</v>
      </c>
      <c r="I226" s="335" t="s">
        <v>19</v>
      </c>
      <c r="J226" s="335" t="s">
        <v>856</v>
      </c>
      <c r="K226" s="335" t="s">
        <v>867</v>
      </c>
    </row>
    <row r="227" spans="1:12" s="29" customFormat="1" ht="16.2" x14ac:dyDescent="0.25">
      <c r="A227" s="19" t="str">
        <f>'IT Accessibility'!$A$20</f>
        <v>ITAC-01</v>
      </c>
      <c r="B227" s="20" t="str">
        <f>VLOOKUP($A227,'IT Accessibility'!$A$13:$E$37,2,0)&amp;""</f>
        <v>Solution Provider Accessibility Contact Name</v>
      </c>
      <c r="C227" s="305" t="str">
        <f>VLOOKUP($A227,'IT Accessibility'!$A$13:$E$37,3,0)&amp;""</f>
        <v>Joseph Thibault</v>
      </c>
      <c r="D227" s="306" t="str">
        <f>IF(LEFT(VLOOKUP($A227,'IT Accessibility'!$A$13:$E$37,5,0),21)='Auto Responses'!$A$32,'Auto Responses'!$A$33,VLOOKUP($A227,'IT Accessibility'!$A$13:$E$37,4,0))&amp;""</f>
        <v/>
      </c>
      <c r="E227" s="333" t="str">
        <f>VLOOKUP($A227,'IT Accessibility'!$A$13:$E$37,5,0)&amp;""</f>
        <v/>
      </c>
      <c r="F227" s="195"/>
      <c r="G227" s="30" t="str">
        <f>VLOOKUP($A227,Questions!$A$2:$X$333,21,0)&amp;""</f>
        <v>Not scored</v>
      </c>
      <c r="H227" s="185"/>
      <c r="I227" s="45" t="str">
        <f>VLOOKUP($A227,Questions!$A$2:$X$333,23,0)&amp;""</f>
        <v/>
      </c>
      <c r="J227" s="185"/>
      <c r="K227" s="48" t="b">
        <v>0</v>
      </c>
      <c r="L227" s="1"/>
    </row>
    <row r="228" spans="1:12" s="29" customFormat="1" ht="16.2" x14ac:dyDescent="0.25">
      <c r="A228" s="19" t="str">
        <f>'IT Accessibility'!$A$21</f>
        <v>ITAC-02</v>
      </c>
      <c r="B228" s="20" t="str">
        <f>VLOOKUP($A228,'IT Accessibility'!$A$13:$E$37,2,0)&amp;""</f>
        <v>Solution Provider Accessibility Contact Title</v>
      </c>
      <c r="C228" s="305" t="str">
        <f>VLOOKUP($A228,'IT Accessibility'!$A$13:$E$37,3,0)&amp;""</f>
        <v>CEO</v>
      </c>
      <c r="D228" s="306" t="str">
        <f>IF(LEFT(VLOOKUP($A228,'IT Accessibility'!$A$13:$E$37,5,0),21)='Auto Responses'!$A$32,'Auto Responses'!$A$33,VLOOKUP($A228,'IT Accessibility'!$A$13:$E$37,4,0))&amp;""</f>
        <v/>
      </c>
      <c r="E228" s="333" t="str">
        <f>VLOOKUP($A228,'IT Accessibility'!$A$13:$E$37,5,0)&amp;""</f>
        <v/>
      </c>
      <c r="F228" s="195"/>
      <c r="G228" s="30" t="str">
        <f>VLOOKUP($A228,Questions!$A$2:$X$333,21,0)&amp;""</f>
        <v>Not scored</v>
      </c>
      <c r="H228" s="185"/>
      <c r="I228" s="45" t="str">
        <f>VLOOKUP($A228,Questions!$A$2:$X$333,23,0)&amp;""</f>
        <v/>
      </c>
      <c r="J228" s="185"/>
      <c r="K228" s="48" t="b">
        <v>0</v>
      </c>
      <c r="L228" s="1"/>
    </row>
    <row r="229" spans="1:12" s="29" customFormat="1" ht="32.4" x14ac:dyDescent="0.25">
      <c r="A229" s="19" t="str">
        <f>'IT Accessibility'!$A$22</f>
        <v>ITAC-03</v>
      </c>
      <c r="B229" s="20" t="str">
        <f>VLOOKUP($A229,'IT Accessibility'!$A$13:$E$37,2,0)&amp;""</f>
        <v>Solution Provider Accessibility Contact Email</v>
      </c>
      <c r="C229" s="305" t="str">
        <f>VLOOKUP($A229,'IT Accessibility'!$A$13:$E$37,3,0)&amp;""</f>
        <v>joe@cursivetechnology.com</v>
      </c>
      <c r="D229" s="306" t="str">
        <f>IF(LEFT(VLOOKUP($A229,'IT Accessibility'!$A$13:$E$37,5,0),21)='Auto Responses'!$A$32,'Auto Responses'!$A$33,VLOOKUP($A229,'IT Accessibility'!$A$13:$E$37,4,0))&amp;""</f>
        <v/>
      </c>
      <c r="E229" s="333" t="str">
        <f>VLOOKUP($A229,'IT Accessibility'!$A$13:$E$37,5,0)&amp;""</f>
        <v/>
      </c>
      <c r="F229" s="195"/>
      <c r="G229" s="30" t="str">
        <f>VLOOKUP($A229,Questions!$A$2:$X$333,21,0)&amp;""</f>
        <v>Not scored</v>
      </c>
      <c r="H229" s="185"/>
      <c r="I229" s="45" t="str">
        <f>VLOOKUP($A229,Questions!$A$2:$X$333,23,0)&amp;""</f>
        <v/>
      </c>
      <c r="J229" s="185"/>
      <c r="K229" s="48" t="b">
        <v>0</v>
      </c>
      <c r="L229" s="1"/>
    </row>
    <row r="230" spans="1:12" s="29" customFormat="1" ht="16.2" x14ac:dyDescent="0.25">
      <c r="A230" s="19" t="str">
        <f>'IT Accessibility'!$A$23</f>
        <v>ITAC-04</v>
      </c>
      <c r="B230" s="20" t="str">
        <f>VLOOKUP($A230,'IT Accessibility'!$A$13:$E$37,2,0)&amp;""</f>
        <v>Solution Provider Accessibility Contact Phone Number</v>
      </c>
      <c r="C230" s="305" t="str">
        <f>VLOOKUP($A230,'IT Accessibility'!$A$13:$E$37,3,0)&amp;""</f>
        <v>410-231-3323</v>
      </c>
      <c r="D230" s="306" t="str">
        <f>IF(LEFT(VLOOKUP($A230,'IT Accessibility'!$A$13:$E$37,5,0),21)='Auto Responses'!$A$32,'Auto Responses'!$A$33,VLOOKUP($A230,'IT Accessibility'!$A$13:$E$37,4,0))&amp;""</f>
        <v/>
      </c>
      <c r="E230" s="333" t="str">
        <f>VLOOKUP($A230,'IT Accessibility'!$A$13:$E$37,5,0)&amp;""</f>
        <v/>
      </c>
      <c r="F230" s="195"/>
      <c r="G230" s="30" t="str">
        <f>VLOOKUP($A230,Questions!$A$2:$X$333,21,0)&amp;""</f>
        <v>Not scored</v>
      </c>
      <c r="H230" s="185"/>
      <c r="I230" s="45" t="str">
        <f>VLOOKUP($A230,Questions!$A$2:$X$333,23,0)&amp;""</f>
        <v/>
      </c>
      <c r="J230" s="185"/>
      <c r="K230" s="48" t="b">
        <v>0</v>
      </c>
      <c r="L230" s="1"/>
    </row>
    <row r="231" spans="1:12" s="29" customFormat="1" ht="48.6" x14ac:dyDescent="0.25">
      <c r="A231" s="19" t="str">
        <f>'IT Accessibility'!$A$24</f>
        <v>ITAC-05</v>
      </c>
      <c r="B231" s="20" t="str">
        <f>VLOOKUP($A231,'IT Accessibility'!$A$13:$E$37,2,0)&amp;""</f>
        <v>Web Link to Accessibility Statement or VPAT</v>
      </c>
      <c r="C231" s="305" t="str">
        <f>VLOOKUP($A231,'IT Accessibility'!$A$13:$E$37,3,0)&amp;""</f>
        <v>https://www.cursivetechnology.com/accessibility</v>
      </c>
      <c r="D231" s="306" t="str">
        <f>IF(LEFT(VLOOKUP($A231,'IT Accessibility'!$A$13:$E$37,5,0),21)='Auto Responses'!$A$32,'Auto Responses'!$A$33,VLOOKUP($A231,'IT Accessibility'!$A$13:$E$37,4,0))&amp;""</f>
        <v/>
      </c>
      <c r="E231" s="333" t="str">
        <f>VLOOKUP($A231,'IT Accessibility'!$A$13:$E$37,5,0)&amp;""</f>
        <v>VPAT can also be added as an attachment</v>
      </c>
      <c r="F231" s="195"/>
      <c r="G231" s="30" t="str">
        <f>VLOOKUP($A231,Questions!$A$2:$X$333,21,0)&amp;""</f>
        <v>Not scored</v>
      </c>
      <c r="H231" s="185"/>
      <c r="I231" s="45" t="str">
        <f>VLOOKUP($A231,Questions!$A$2:$X$333,23,0)&amp;""</f>
        <v/>
      </c>
      <c r="J231" s="185"/>
      <c r="K231" s="48" t="b">
        <v>0</v>
      </c>
      <c r="L231" s="1"/>
    </row>
    <row r="232" spans="1:12" s="29" customFormat="1" ht="113.4" x14ac:dyDescent="0.25">
      <c r="A232" s="19" t="str">
        <f>'IT Accessibility'!$A$25</f>
        <v>ITAC-06</v>
      </c>
      <c r="B232" s="20" t="str">
        <f>VLOOKUP($A232,'IT Accessibility'!$A$13:$E$37,2,0)&amp;""</f>
        <v>Has a VPAT or ACR been created or updated for the solution and version under consideration within the past 12 months?*</v>
      </c>
      <c r="C232" s="45" t="str">
        <f>VLOOKUP($A232,'IT Accessibility'!$A$13:$E$37,3,0)&amp;""</f>
        <v>Yes</v>
      </c>
      <c r="D232" s="34" t="str">
        <f>IF(LEFT(VLOOKUP($A232,'IT Accessibility'!$A$13:$E$37,5,0),21)='Auto Responses'!$A$32,'Auto Responses'!$A$33,VLOOKUP($A232,'IT Accessibility'!$A$13:$E$37,4,0))&amp;""</f>
        <v>VPAT is being refreshed following May 2026 accessibility review; current VPAT linked from cursivetechnology.com/accessibility</v>
      </c>
      <c r="E232" s="333" t="str">
        <f>VLOOKUP($A232,'IT Accessibility'!$A$13:$E$37,5,0)&amp;""</f>
        <v>State the date the VPAT was completed. Include this VPAT in your submission and/or link to its web location.</v>
      </c>
      <c r="F232" s="195"/>
      <c r="G232" s="30" t="str">
        <f>VLOOKUP($A232,Questions!$A$2:$X$333,21,0)&amp;""</f>
        <v>Yes</v>
      </c>
      <c r="H232" s="185"/>
      <c r="I232" s="45" t="str">
        <f>VLOOKUP($A232,Questions!$A$2:$X$333,23,0)&amp;""</f>
        <v>Critical Importance</v>
      </c>
      <c r="J232" s="185"/>
      <c r="K232" s="48" t="b">
        <v>0</v>
      </c>
      <c r="L232" s="1"/>
    </row>
    <row r="233" spans="1:12" s="29" customFormat="1" ht="194.4" x14ac:dyDescent="0.25">
      <c r="A233" s="19" t="str">
        <f>'IT Accessibility'!$A$26</f>
        <v>ITAC-07</v>
      </c>
      <c r="B233" s="20" t="str">
        <f>VLOOKUP($A233,'IT Accessibility'!$A$13:$E$37,2,0)&amp;""</f>
        <v>Will your company agree to meet your stated accessibility standard or WCAG 2.1 AA as part of your contractual agreement for the solution?*</v>
      </c>
      <c r="C233" s="45" t="str">
        <f>VLOOKUP($A233,'IT Accessibility'!$A$13:$E$37,3,0)&amp;""</f>
        <v>Yes</v>
      </c>
      <c r="D233" s="34" t="str">
        <f>IF(LEFT(VLOOKUP($A233,'IT Accessibility'!$A$13:$E$37,5,0),21)='Auto Responses'!$A$32,'Auto Responses'!$A$33,VLOOKUP($A233,'IT Accessibility'!$A$13:$E$37,4,0))&amp;""</f>
        <v>Cursive will commit contractually to its currently stated standard (WCAG 2.0 A) and to the documented roadmap toward WCAG 2.1 AA. Full contractual commitment to WCAG 2.1 AA is targeted following completion of the remediation work scoped in May 2026.</v>
      </c>
      <c r="E233" s="333" t="str">
        <f>VLOOKUP($A233,'IT Accessibility'!$A$13:$E$37,5,0)&amp;""</f>
        <v/>
      </c>
      <c r="F233" s="195"/>
      <c r="G233" s="30" t="str">
        <f>VLOOKUP($A233,Questions!$A$2:$X$333,21,0)&amp;""</f>
        <v>Yes</v>
      </c>
      <c r="H233" s="185"/>
      <c r="I233" s="45" t="str">
        <f>VLOOKUP($A233,Questions!$A$2:$X$333,23,0)&amp;""</f>
        <v>Critical Importance</v>
      </c>
      <c r="J233" s="185"/>
      <c r="K233" s="48" t="b">
        <v>0</v>
      </c>
      <c r="L233" s="1"/>
    </row>
    <row r="234" spans="1:12" s="29" customFormat="1" ht="275.39999999999998" x14ac:dyDescent="0.25">
      <c r="A234" s="19" t="str">
        <f>'IT Accessibility'!$A$27</f>
        <v>ITAC-08</v>
      </c>
      <c r="B234" s="20" t="str">
        <f>VLOOKUP($A234,'IT Accessibility'!$A$13:$E$37,2,0)&amp;""</f>
        <v>Does the solution substantially conform to WCAG 2.1 AA?*</v>
      </c>
      <c r="C234" s="45" t="str">
        <f>VLOOKUP($A234,'IT Accessibility'!$A$13:$E$37,3,0)&amp;""</f>
        <v>Yes</v>
      </c>
      <c r="D234" s="34" t="str">
        <f>IF(LEFT(VLOOKUP($A234,'IT Accessibility'!$A$13:$E$37,5,0),21)='Auto Responses'!$A$32,'Auto Responses'!$A$33,VLOOKUP($A234,'IT Accessibility'!$A$13:$E$37,4,0))&amp;""</f>
        <v>Substantial conformance to WCAG 2.0 Level A per the current VPAT. WCAG 2.1 AA conformance is the documented roadmap target; gap items are tracked in the POAM and prioritized in Linear.</v>
      </c>
      <c r="E234" s="333" t="str">
        <f>VLOOKUP($A234,'IT Accessibility'!$A$13:$E$37,5,0)&amp;""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34" s="195"/>
      <c r="G234" s="30" t="str">
        <f>VLOOKUP($A234,Questions!$A$2:$X$333,21,0)&amp;""</f>
        <v>Yes</v>
      </c>
      <c r="H234" s="185"/>
      <c r="I234" s="45" t="str">
        <f>VLOOKUP($A234,Questions!$A$2:$X$333,23,0)&amp;""</f>
        <v>Critical Importance</v>
      </c>
      <c r="J234" s="185"/>
      <c r="K234" s="48" t="b">
        <v>0</v>
      </c>
      <c r="L234" s="1"/>
    </row>
    <row r="235" spans="1:12" s="29" customFormat="1" ht="162" x14ac:dyDescent="0.25">
      <c r="A235" s="19" t="str">
        <f>'IT Accessibility'!$A$28</f>
        <v>ITAC-09</v>
      </c>
      <c r="B235" s="20" t="str">
        <f>VLOOKUP($A235,'IT Accessibility'!$A$13:$E$37,2,0)&amp;""</f>
        <v>Do you have a documented and implemented process for reporting and tracking accessibility issues?*</v>
      </c>
      <c r="C235" s="45" t="str">
        <f>VLOOKUP($A235,'IT Accessibility'!$A$13:$E$37,3,0)&amp;""</f>
        <v>Yes</v>
      </c>
      <c r="D235" s="34" t="str">
        <f>IF(LEFT(VLOOKUP($A235,'IT Accessibility'!$A$13:$E$37,5,0),21)='Auto Responses'!$A$32,'Auto Responses'!$A$33,VLOOKUP($A235,'IT Accessibility'!$A$13:$E$37,4,0))&amp;""</f>
        <v>Issues are logged through customer support channels and via instructor/end-user feedback. Logged issues become part of the POAM, are tracked as Linear tickets, and are prioritized in the product roadmap.</v>
      </c>
      <c r="E235" s="333" t="str">
        <f>VLOOKUP($A235,'IT Accessibility'!$A$13:$E$37,5,0)&amp;""</f>
        <v>Describe the process and any recent examples of fixes as a result of the process.</v>
      </c>
      <c r="F235" s="195"/>
      <c r="G235" s="30" t="str">
        <f>VLOOKUP($A235,Questions!$A$2:$X$333,21,0)&amp;""</f>
        <v>Yes</v>
      </c>
      <c r="H235" s="185"/>
      <c r="I235" s="45" t="str">
        <f>VLOOKUP($A235,Questions!$A$2:$X$333,23,0)&amp;""</f>
        <v>Critical Importance</v>
      </c>
      <c r="J235" s="185"/>
      <c r="K235" s="48" t="b">
        <v>0</v>
      </c>
      <c r="L235" s="1"/>
    </row>
    <row r="236" spans="1:12" s="29" customFormat="1" ht="97.2" x14ac:dyDescent="0.25">
      <c r="A236" s="19" t="str">
        <f>'IT Accessibility'!$A$29</f>
        <v>ITAC-10</v>
      </c>
      <c r="B236" s="20" t="str">
        <f>VLOOKUP($A236,'IT Accessibility'!$A$13:$E$37,2,0)&amp;""</f>
        <v>Do you have documentation to support the accessibility features of your solution?</v>
      </c>
      <c r="C236" s="45" t="str">
        <f>VLOOKUP($A236,'IT Accessibility'!$A$13:$E$37,3,0)&amp;""</f>
        <v>Yes</v>
      </c>
      <c r="D236" s="34" t="str">
        <f>IF(LEFT(VLOOKUP($A236,'IT Accessibility'!$A$13:$E$37,5,0),21)='Auto Responses'!$A$32,'Auto Responses'!$A$33,VLOOKUP($A236,'IT Accessibility'!$A$13:$E$37,4,0))&amp;""</f>
        <v>Documentation of accessibility features is maintained in the VPAT and the Cursive Technology Policies and Procedures.</v>
      </c>
      <c r="E236" s="333" t="str">
        <f>VLOOKUP($A236,'IT Accessibility'!$A$13:$E$37,5,0)&amp;""</f>
        <v>Provide examples with links where possible.</v>
      </c>
      <c r="F236" s="195"/>
      <c r="G236" s="30" t="str">
        <f>VLOOKUP($A236,Questions!$A$2:$X$333,21,0)&amp;""</f>
        <v>Yes</v>
      </c>
      <c r="H236" s="185"/>
      <c r="I236" s="45" t="str">
        <f>VLOOKUP($A236,Questions!$A$2:$X$333,23,0)&amp;""</f>
        <v>Standard Importance</v>
      </c>
      <c r="J236" s="185"/>
      <c r="K236" s="48" t="b">
        <v>0</v>
      </c>
      <c r="L236" s="1"/>
    </row>
    <row r="237" spans="1:12" s="29" customFormat="1" ht="291.60000000000002" x14ac:dyDescent="0.25">
      <c r="A237" s="19" t="str">
        <f>'IT Accessibility'!$A$30</f>
        <v>ITAC-11</v>
      </c>
      <c r="B237" s="20" t="str">
        <f>VLOOKUP($A237,'IT Accessibility'!$A$13:$E$37,2,0)&amp;""</f>
        <v>Has a third-party expert conducted an audit of the most recent version of your solution?</v>
      </c>
      <c r="C237" s="45" t="str">
        <f>VLOOKUP($A237,'IT Accessibility'!$A$13:$E$37,3,0)&amp;""</f>
        <v>Yes</v>
      </c>
      <c r="D237" s="34" t="str">
        <f>IF(LEFT(VLOOKUP($A237,'IT Accessibility'!$A$13:$E$37,5,0),21)='Auto Responses'!$A$32,'Auto Responses'!$A$33,VLOOKUP($A237,'IT Accessibility'!$A$13:$E$37,4,0))&amp;""</f>
        <v>Most recent third-party human accessibility audit conducted by Jordan Connor (Baltimore, MD) in 2023, which produced the current VPAT. An internal AI-assisted accessibility re-review was performed in May 2026 to validate that previously identified items remain on the Plan of Action and Milestones (POAM); a third-party human re-audit is being scheduled.</v>
      </c>
      <c r="E237" s="333" t="str">
        <f>VLOOKUP($A237,'IT Accessibility'!$A$13:$E$37,5,0)&amp;""</f>
        <v>State when the audit was conducted and by whom. Include the results in your submission and/or link to its web location.</v>
      </c>
      <c r="F237" s="195"/>
      <c r="G237" s="30" t="str">
        <f>VLOOKUP($A237,Questions!$A$2:$X$333,21,0)&amp;""</f>
        <v>Yes</v>
      </c>
      <c r="H237" s="185"/>
      <c r="I237" s="45" t="str">
        <f>VLOOKUP($A237,Questions!$A$2:$X$333,23,0)&amp;""</f>
        <v>Standard Importance</v>
      </c>
      <c r="J237" s="185"/>
      <c r="K237" s="48" t="b">
        <v>0</v>
      </c>
      <c r="L237" s="1"/>
    </row>
    <row r="238" spans="1:12" s="29" customFormat="1" ht="129.6" x14ac:dyDescent="0.25">
      <c r="A238" s="19" t="str">
        <f>'IT Accessibility'!$A$31</f>
        <v>ITAC-12</v>
      </c>
      <c r="B238" s="20" t="str">
        <f>VLOOKUP($A238,'IT Accessibility'!$A$13:$E$37,2,0)&amp;""</f>
        <v>Do you have a documented and implemented process for verifying accessibility conformance?</v>
      </c>
      <c r="C238" s="45" t="str">
        <f>VLOOKUP($A238,'IT Accessibility'!$A$13:$E$37,3,0)&amp;""</f>
        <v>Yes</v>
      </c>
      <c r="D238" s="34" t="str">
        <f>IF(LEFT(VLOOKUP($A238,'IT Accessibility'!$A$13:$E$37,5,0),21)='Auto Responses'!$A$32,'Auto Responses'!$A$33,VLOOKUP($A238,'IT Accessibility'!$A$13:$E$37,4,0))&amp;""</f>
        <v>Engagement of qualified third-party accessibility experts; findings tracked in POAM and Linear tickets for remediation. Process formalized following 2023 audit.</v>
      </c>
      <c r="E238" s="333" t="str">
        <f>VLOOKUP($A238,'IT Accessibility'!$A$13:$E$37,5,0)&amp;""</f>
        <v>Describe your processes and methodologies for validating accessibility conformance.</v>
      </c>
      <c r="F238" s="195"/>
      <c r="G238" s="30" t="str">
        <f>VLOOKUP($A238,Questions!$A$2:$X$333,21,0)&amp;""</f>
        <v>Yes</v>
      </c>
      <c r="H238" s="185"/>
      <c r="I238" s="45" t="str">
        <f>VLOOKUP($A238,Questions!$A$2:$X$333,23,0)&amp;""</f>
        <v>Standard Importance</v>
      </c>
      <c r="J238" s="185"/>
      <c r="K238" s="48" t="b">
        <v>0</v>
      </c>
      <c r="L238" s="1"/>
    </row>
    <row r="239" spans="1:12" s="29" customFormat="1" ht="113.4" x14ac:dyDescent="0.25">
      <c r="A239" s="19" t="str">
        <f>'IT Accessibility'!$A$32</f>
        <v>ITAC-13</v>
      </c>
      <c r="B239" s="20" t="str">
        <f>VLOOKUP($A239,'IT Accessibility'!$A$13:$E$37,2,0)&amp;""</f>
        <v>Have you adopted a technical or legal standard of conformance for the solution?</v>
      </c>
      <c r="C239" s="45" t="str">
        <f>VLOOKUP($A239,'IT Accessibility'!$A$13:$E$37,3,0)&amp;""</f>
        <v>Yes</v>
      </c>
      <c r="D239" s="34" t="str">
        <f>IF(LEFT(VLOOKUP($A239,'IT Accessibility'!$A$13:$E$37,5,0),21)='Auto Responses'!$A$32,'Auto Responses'!$A$33,VLOOKUP($A239,'IT Accessibility'!$A$13:$E$37,4,0))&amp;""</f>
        <v>WCAG 2.0 Level A (current VPAT). Roadmap target: WCAG 2.1 Level AA following completion of remediation tickets created in May 2026.</v>
      </c>
      <c r="E239" s="333" t="str">
        <f>VLOOKUP($A239,'IT Accessibility'!$A$13:$E$37,5,0)&amp;""</f>
        <v>Indicate which primary standards and all additional standards the solution meets.</v>
      </c>
      <c r="F239" s="195"/>
      <c r="G239" s="30" t="str">
        <f>VLOOKUP($A239,Questions!$A$2:$X$333,21,0)&amp;""</f>
        <v>Yes</v>
      </c>
      <c r="H239" s="185"/>
      <c r="I239" s="45" t="str">
        <f>VLOOKUP($A239,Questions!$A$2:$X$333,23,0)&amp;""</f>
        <v>Standard Importance</v>
      </c>
      <c r="J239" s="185"/>
      <c r="K239" s="48" t="b">
        <v>0</v>
      </c>
      <c r="L239" s="1"/>
    </row>
    <row r="240" spans="1:12" s="29" customFormat="1" ht="129.6" x14ac:dyDescent="0.25">
      <c r="A240" s="19" t="str">
        <f>'IT Accessibility'!$A$33</f>
        <v>ITAC-14</v>
      </c>
      <c r="B240" s="20" t="str">
        <f>VLOOKUP($A240,'IT Accessibility'!$A$13:$E$37,2,0)&amp;""</f>
        <v>Can you provide a current, detailed accessibility roadmap with delivery timelines?</v>
      </c>
      <c r="C240" s="45" t="str">
        <f>VLOOKUP($A240,'IT Accessibility'!$A$13:$E$37,3,0)&amp;""</f>
        <v>Yes</v>
      </c>
      <c r="D240" s="34" t="str">
        <f>IF(LEFT(VLOOKUP($A240,'IT Accessibility'!$A$13:$E$37,5,0),21)='Auto Responses'!$A$32,'Auto Responses'!$A$33,VLOOKUP($A240,'IT Accessibility'!$A$13:$E$37,4,0))&amp;""</f>
        <v>POAM updated May 2026 with remediation tickets in Linear; available on request</v>
      </c>
      <c r="E240" s="333" t="str">
        <f>VLOOKUP($A240,'IT Accessibility'!$A$13:$E$37,5,0)&amp;""</f>
        <v>Comment on how far into the future the roadmap extends. Provide evidence (including links) of having delivered upon the accessibility roadmap in the past.</v>
      </c>
      <c r="F240" s="195"/>
      <c r="G240" s="30" t="str">
        <f>VLOOKUP($A240,Questions!$A$2:$X$333,21,0)&amp;""</f>
        <v>Yes</v>
      </c>
      <c r="H240" s="185"/>
      <c r="I240" s="45" t="str">
        <f>VLOOKUP($A240,Questions!$A$2:$X$333,23,0)&amp;""</f>
        <v>Standard Importance</v>
      </c>
      <c r="J240" s="185"/>
      <c r="K240" s="48" t="b">
        <v>0</v>
      </c>
      <c r="L240" s="1"/>
    </row>
    <row r="241" spans="1:12" s="29" customFormat="1" ht="113.4" x14ac:dyDescent="0.25">
      <c r="A241" s="19" t="str">
        <f>'IT Accessibility'!$A$34</f>
        <v>ITAC-15</v>
      </c>
      <c r="B241" s="20" t="str">
        <f>VLOOKUP($A241,'IT Accessibility'!$A$13:$E$37,2,0)&amp;""</f>
        <v>Do you expect your staff to maintain a current skill set in IT accessibility?</v>
      </c>
      <c r="C241" s="45" t="str">
        <f>VLOOKUP($A241,'IT Accessibility'!$A$13:$E$37,3,0)&amp;""</f>
        <v>No</v>
      </c>
      <c r="D241" s="34" t="str">
        <f>IF(LEFT(VLOOKUP($A241,'IT Accessibility'!$A$13:$E$37,5,0),21)='Auto Responses'!$A$32,'Auto Responses'!$A$33,VLOOKUP($A241,'IT Accessibility'!$A$13:$E$37,4,0))&amp;""</f>
        <v>Team has general accessibility awareness; specialist input is engaged via qualified third-party experts on a periodic basis</v>
      </c>
      <c r="E241" s="333" t="str">
        <f>VLOOKUP($A241,'IT Accessibility'!$A$13:$E$37,5,0)&amp;""</f>
        <v>Describe any plans to ensure appropriate and ongoing staff knowledge about accessibility.</v>
      </c>
      <c r="F241" s="195"/>
      <c r="G241" s="30" t="str">
        <f>VLOOKUP($A241,Questions!$A$2:$X$333,21,0)&amp;""</f>
        <v>Yes</v>
      </c>
      <c r="H241" s="185"/>
      <c r="I241" s="45" t="str">
        <f>VLOOKUP($A241,Questions!$A$2:$X$333,23,0)&amp;""</f>
        <v>Standard Importance</v>
      </c>
      <c r="J241" s="185"/>
      <c r="K241" s="48" t="b">
        <v>0</v>
      </c>
      <c r="L241" s="1"/>
    </row>
    <row r="242" spans="1:12" s="29" customFormat="1" ht="64.8" x14ac:dyDescent="0.25">
      <c r="A242" s="19" t="str">
        <f>'IT Accessibility'!$A$35</f>
        <v>ITAC-16</v>
      </c>
      <c r="B242" s="20" t="str">
        <f>VLOOKUP($A242,'IT Accessibility'!$A$13:$E$37,2,0)&amp;""</f>
        <v>Do you have documented processes and procedures for implementing accessibility into your development lifecycle?</v>
      </c>
      <c r="C242" s="45" t="str">
        <f>VLOOKUP($A242,'IT Accessibility'!$A$13:$E$37,3,0)&amp;""</f>
        <v>Yes</v>
      </c>
      <c r="D242" s="34" t="str">
        <f>IF(LEFT(VLOOKUP($A242,'IT Accessibility'!$A$13:$E$37,5,0),21)='Auto Responses'!$A$32,'Auto Responses'!$A$33,VLOOKUP($A242,'IT Accessibility'!$A$13:$E$37,4,0))&amp;""</f>
        <v>Accessibility considered during ticket creation, design review, and QA per Cursive SDLC</v>
      </c>
      <c r="E242" s="333" t="str">
        <f>VLOOKUP($A242,'IT Accessibility'!$A$13:$E$37,5,0)&amp;""</f>
        <v>Provide further details in Additional Information.</v>
      </c>
      <c r="F242" s="195"/>
      <c r="G242" s="30" t="str">
        <f>VLOOKUP($A242,Questions!$A$2:$X$333,21,0)&amp;""</f>
        <v>Yes</v>
      </c>
      <c r="H242" s="185"/>
      <c r="I242" s="45" t="str">
        <f>VLOOKUP($A242,Questions!$A$2:$X$333,23,0)&amp;""</f>
        <v>Standard Importance</v>
      </c>
      <c r="J242" s="185"/>
      <c r="K242" s="48" t="b">
        <v>0</v>
      </c>
      <c r="L242" s="1"/>
    </row>
    <row r="243" spans="1:12" s="29" customFormat="1" ht="81" x14ac:dyDescent="0.25">
      <c r="A243" s="19" t="str">
        <f>'IT Accessibility'!$A$36</f>
        <v>ITAC-17</v>
      </c>
      <c r="B243" s="20" t="str">
        <f>VLOOKUP($A243,'IT Accessibility'!$A$13:$E$37,2,0)&amp;""</f>
        <v>Can all functions of the application or service be performed using only the keyboard?</v>
      </c>
      <c r="C243" s="45" t="str">
        <f>VLOOKUP($A243,'IT Accessibility'!$A$13:$E$37,3,0)&amp;""</f>
        <v>Yes</v>
      </c>
      <c r="D243" s="34" t="str">
        <f>IF(LEFT(VLOOKUP($A243,'IT Accessibility'!$A$13:$E$37,5,0),21)='Auto Responses'!$A$32,'Auto Responses'!$A$33,VLOOKUP($A243,'IT Accessibility'!$A$13:$E$37,4,0))&amp;""</f>
        <v>Verified on Windows 11 via web interface to the browser extension and Moodle LMS plugin as recently as 5/1/2026</v>
      </c>
      <c r="E243" s="333" t="str">
        <f>VLOOKUP($A243,'IT Accessibility'!$A$13:$E$37,5,0)&amp;""</f>
        <v>State when and on which platform this was verified.</v>
      </c>
      <c r="F243" s="195"/>
      <c r="G243" s="30" t="str">
        <f>VLOOKUP($A243,Questions!$A$2:$X$333,21,0)&amp;""</f>
        <v>Yes</v>
      </c>
      <c r="H243" s="185"/>
      <c r="I243" s="45" t="str">
        <f>VLOOKUP($A243,Questions!$A$2:$X$333,23,0)&amp;""</f>
        <v>Standard Importance</v>
      </c>
      <c r="J243" s="185"/>
      <c r="K243" s="48" t="b">
        <v>0</v>
      </c>
      <c r="L243" s="1"/>
    </row>
    <row r="244" spans="1:12" s="29" customFormat="1" ht="243.6" thickBot="1" x14ac:dyDescent="0.3">
      <c r="A244" s="19" t="str">
        <f>'IT Accessibility'!$A$37</f>
        <v>ITAC-18</v>
      </c>
      <c r="B244" s="20" t="str">
        <f>VLOOKUP($A244,'IT Accessibility'!$A$13:$E$37,2,0)&amp;""</f>
        <v>Does your product rely on activating a special "accessibility mode," a "lite version," or using an alternate interface (including “overlay” or AI-based alternates)  for accessibility purposes?</v>
      </c>
      <c r="C244" s="45" t="str">
        <f>VLOOKUP($A244,'IT Accessibility'!$A$13:$E$37,3,0)&amp;""</f>
        <v>No</v>
      </c>
      <c r="D244" s="34" t="str">
        <f>IF(LEFT(VLOOKUP($A244,'IT Accessibility'!$A$13:$E$37,5,0),21)='Auto Responses'!$A$32,'Auto Responses'!$A$33,VLOOKUP($A244,'IT Accessibility'!$A$13:$E$37,4,0))&amp;""</f>
        <v/>
      </c>
      <c r="E244" s="333" t="str">
        <f>VLOOKUP($A244,'IT Accessibility'!$A$13:$E$37,5,0)&amp;""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244" s="195"/>
      <c r="G244" s="30" t="str">
        <f>VLOOKUP($A244,Questions!$A$2:$X$333,21,0)&amp;""</f>
        <v>No</v>
      </c>
      <c r="H244" s="185"/>
      <c r="I244" s="45" t="str">
        <f>VLOOKUP($A244,Questions!$A$2:$X$333,23,0)&amp;""</f>
        <v>Standard Importance</v>
      </c>
      <c r="J244" s="185"/>
      <c r="K244" s="49" t="b">
        <v>0</v>
      </c>
      <c r="L244" s="1"/>
    </row>
    <row r="245" spans="1:12" s="1" customFormat="1" ht="17.399999999999999" x14ac:dyDescent="0.25">
      <c r="A245" s="63" t="str">
        <f>VLOOKUP(LEFT($A246,4),'Auto Responses'!$N$4:$O$38,2,0)&amp;""</f>
        <v xml:space="preserve"> Consulting Services</v>
      </c>
      <c r="B245" s="22"/>
      <c r="C245" s="31"/>
      <c r="D245" s="31"/>
      <c r="E245" s="331"/>
      <c r="F245" s="131" t="s">
        <v>1030</v>
      </c>
      <c r="G245" s="335" t="s">
        <v>869</v>
      </c>
      <c r="H245" s="335" t="s">
        <v>871</v>
      </c>
      <c r="I245" s="335" t="s">
        <v>19</v>
      </c>
      <c r="J245" s="335" t="s">
        <v>856</v>
      </c>
      <c r="K245" s="335" t="s">
        <v>867</v>
      </c>
    </row>
    <row r="246" spans="1:12" s="29" customFormat="1" ht="97.2" x14ac:dyDescent="0.25">
      <c r="A246" s="19" t="str">
        <f>'Case-Specific'!$A$23</f>
        <v>CONS-01</v>
      </c>
      <c r="B246" s="20" t="str">
        <f>VLOOKUP($A246,'Case-Specific'!$A$13:$E$85,2,0)&amp;""</f>
        <v>Will the consultant require access to the institution's network resources?*</v>
      </c>
      <c r="C246" s="45" t="str">
        <f>VLOOKUP($A246,'Case-Specific'!$A$13:$E$85,3,0)&amp;""</f>
        <v/>
      </c>
      <c r="D246" s="34" t="str">
        <f>IF(LEFT(VLOOKUP($A246,'Case-Specific'!$A$13:$E$85,5,0),21)='Auto Responses'!$A$32,'Auto Responses'!$A$33,VLOOKUP($A246,'Case-Specific'!$A$13:$E$85,4,0))&amp;""</f>
        <v>This question does not apply.</v>
      </c>
      <c r="E246" s="330" t="str">
        <f>VLOOKUP($A246,'Case-Specific'!$A$13:$E$85,5,0)&amp;""</f>
        <v>Based on the response to REQU-03 on the "START HERE" tab, this question does not apply to this product or service.</v>
      </c>
      <c r="F246" s="195"/>
      <c r="G246" s="30" t="str">
        <f>VLOOKUP($A246,Questions!$A$2:$X$333,21,0)&amp;""</f>
        <v>No</v>
      </c>
      <c r="H246" s="185"/>
      <c r="I246" s="45" t="str">
        <f>VLOOKUP($A246,Questions!$A$2:$X$333,23,0)&amp;""</f>
        <v>Critical Importance</v>
      </c>
      <c r="J246" s="185"/>
      <c r="K246" s="48" t="b">
        <v>0</v>
      </c>
      <c r="L246" s="1"/>
    </row>
    <row r="247" spans="1:12" s="29" customFormat="1" ht="97.2" x14ac:dyDescent="0.25">
      <c r="A247" s="19" t="str">
        <f>'Case-Specific'!$A$24</f>
        <v>CONS-02</v>
      </c>
      <c r="B247" s="20" t="str">
        <f>VLOOKUP($A247,'Case-Specific'!$A$13:$E$85,2,0)&amp;""</f>
        <v>Has the consultant received training on (sensitive, HIPAA, PCI, etc.) data handling?*</v>
      </c>
      <c r="C247" s="45" t="str">
        <f>VLOOKUP($A247,'Case-Specific'!$A$13:$E$85,3,0)&amp;""</f>
        <v/>
      </c>
      <c r="D247" s="34" t="str">
        <f>IF(LEFT(VLOOKUP($A247,'Case-Specific'!$A$13:$E$85,5,0),21)='Auto Responses'!$A$32,'Auto Responses'!$A$33,VLOOKUP($A247,'Case-Specific'!$A$13:$E$85,4,0))&amp;""</f>
        <v>This question does not apply.</v>
      </c>
      <c r="E247" s="330" t="str">
        <f>VLOOKUP($A247,'Case-Specific'!$A$13:$E$85,5,0)&amp;""</f>
        <v>Based on the response to REQU-03 on the "START HERE" tab, this question does not apply to this product or service.</v>
      </c>
      <c r="F247" s="195"/>
      <c r="G247" s="30" t="str">
        <f>VLOOKUP($A247,Questions!$A$2:$X$333,21,0)&amp;""</f>
        <v>Yes</v>
      </c>
      <c r="H247" s="185"/>
      <c r="I247" s="45" t="str">
        <f>VLOOKUP($A247,Questions!$A$2:$X$333,23,0)&amp;""</f>
        <v>Critical Importance</v>
      </c>
      <c r="J247" s="185"/>
      <c r="K247" s="48" t="b">
        <v>0</v>
      </c>
      <c r="L247" s="1"/>
    </row>
    <row r="248" spans="1:12" s="29" customFormat="1" ht="97.2" x14ac:dyDescent="0.25">
      <c r="A248" s="19" t="str">
        <f>'Case-Specific'!$A$25</f>
        <v>CONS-03</v>
      </c>
      <c r="B248" s="20" t="str">
        <f>VLOOKUP($A248,'Case-Specific'!$A$13:$E$85,2,0)&amp;""</f>
        <v>Is the data encrypted (at rest) while in the consultant's possession?*</v>
      </c>
      <c r="C248" s="45" t="str">
        <f>VLOOKUP($A248,'Case-Specific'!$A$13:$E$85,3,0)&amp;""</f>
        <v/>
      </c>
      <c r="D248" s="34" t="str">
        <f>IF(LEFT(VLOOKUP($A248,'Case-Specific'!$A$13:$E$85,5,0),21)='Auto Responses'!$A$32,'Auto Responses'!$A$33,VLOOKUP($A248,'Case-Specific'!$A$13:$E$85,4,0))&amp;""</f>
        <v>This question does not apply.</v>
      </c>
      <c r="E248" s="330" t="str">
        <f>VLOOKUP($A248,'Case-Specific'!$A$13:$E$85,5,0)&amp;""</f>
        <v>Based on the response to REQU-03 on the "START HERE" tab, this question does not apply to this product or service.</v>
      </c>
      <c r="F248" s="195"/>
      <c r="G248" s="30" t="str">
        <f>VLOOKUP($A248,Questions!$A$2:$X$333,21,0)&amp;""</f>
        <v>Yes</v>
      </c>
      <c r="H248" s="185"/>
      <c r="I248" s="45" t="str">
        <f>VLOOKUP($A248,Questions!$A$2:$X$333,23,0)&amp;""</f>
        <v>Critical Importance</v>
      </c>
      <c r="J248" s="185"/>
      <c r="K248" s="48" t="b">
        <v>0</v>
      </c>
      <c r="L248" s="1"/>
    </row>
    <row r="249" spans="1:12" s="29" customFormat="1" ht="97.2" x14ac:dyDescent="0.25">
      <c r="A249" s="19" t="str">
        <f>'Case-Specific'!A26</f>
        <v>CONS-04</v>
      </c>
      <c r="B249" s="20" t="str">
        <f>VLOOKUP($A249,'Case-Specific'!$A$13:$E$85,2,0)&amp;""</f>
        <v>Can access be restricted based on source IP address?*</v>
      </c>
      <c r="C249" s="45" t="str">
        <f>VLOOKUP($A249,'Case-Specific'!$A$13:$E$85,3,0)&amp;""</f>
        <v/>
      </c>
      <c r="D249" s="34" t="str">
        <f>IF(LEFT(VLOOKUP($A249,'Case-Specific'!$A$13:$E$85,5,0),21)='Auto Responses'!$A$32,'Auto Responses'!$A$33,VLOOKUP($A249,'Case-Specific'!$A$13:$E$85,4,0))&amp;""</f>
        <v>This question does not apply.</v>
      </c>
      <c r="E249" s="330" t="str">
        <f>VLOOKUP($A249,'Case-Specific'!$A$13:$E$85,5,0)&amp;""</f>
        <v>Based on the response to REQU-03 on the "START HERE" tab, this question does not apply to this product or service.</v>
      </c>
      <c r="F249" s="195"/>
      <c r="G249" s="30" t="str">
        <f>VLOOKUP($A249,Questions!$A$2:$X$333,21,0)&amp;""</f>
        <v>Yes</v>
      </c>
      <c r="H249" s="185"/>
      <c r="I249" s="45" t="str">
        <f>VLOOKUP($A249,Questions!$A$2:$X$333,23,0)&amp;""</f>
        <v>Critical Importance</v>
      </c>
      <c r="J249" s="185"/>
      <c r="K249" s="48" t="b">
        <v>0</v>
      </c>
      <c r="L249" s="1"/>
    </row>
    <row r="250" spans="1:12" s="29" customFormat="1" ht="97.2" x14ac:dyDescent="0.25">
      <c r="A250" s="19" t="str">
        <f>'Case-Specific'!A27</f>
        <v>CONS-05</v>
      </c>
      <c r="B250" s="20" t="str">
        <f>VLOOKUP($A250,'Case-Specific'!$A$13:$E$85,2,0)&amp;""</f>
        <v>Will the consulting take place on-premises?</v>
      </c>
      <c r="C250" s="45" t="str">
        <f>VLOOKUP($A250,'Case-Specific'!$A$13:$E$85,3,0)&amp;""</f>
        <v/>
      </c>
      <c r="D250" s="34" t="str">
        <f>IF(LEFT(VLOOKUP($A250,'Case-Specific'!$A$13:$E$85,5,0),21)='Auto Responses'!$A$32,'Auto Responses'!$A$33,VLOOKUP($A250,'Case-Specific'!$A$13:$E$85,4,0))&amp;""</f>
        <v>This question does not apply.</v>
      </c>
      <c r="E250" s="330" t="str">
        <f>VLOOKUP($A250,'Case-Specific'!$A$13:$E$85,5,0)&amp;""</f>
        <v>Based on the response to REQU-03 on the "START HERE" tab, this question does not apply to this product or service.</v>
      </c>
      <c r="F250" s="195"/>
      <c r="G250" s="30" t="str">
        <f>VLOOKUP($A250,Questions!$A$2:$X$333,21,0)&amp;""</f>
        <v>No</v>
      </c>
      <c r="H250" s="185"/>
      <c r="I250" s="45" t="str">
        <f>VLOOKUP($A250,Questions!$A$2:$X$333,23,0)&amp;""</f>
        <v>Standard Importance</v>
      </c>
      <c r="J250" s="185"/>
      <c r="K250" s="48" t="b">
        <v>0</v>
      </c>
      <c r="L250" s="1"/>
    </row>
    <row r="251" spans="1:12" s="29" customFormat="1" ht="97.2" x14ac:dyDescent="0.25">
      <c r="A251" s="19" t="str">
        <f>'Case-Specific'!A28</f>
        <v>CONS-06</v>
      </c>
      <c r="B251" s="20" t="str">
        <f>VLOOKUP($A251,'Case-Specific'!$A$13:$E$85,2,0)&amp;""</f>
        <v>Will the consultant require access to hardware in the institution's data centers?</v>
      </c>
      <c r="C251" s="45" t="str">
        <f>VLOOKUP($A251,'Case-Specific'!$A$13:$E$85,3,0)&amp;""</f>
        <v/>
      </c>
      <c r="D251" s="34" t="str">
        <f>IF(LEFT(VLOOKUP($A251,'Case-Specific'!$A$13:$E$85,5,0),21)='Auto Responses'!$A$32,'Auto Responses'!$A$33,VLOOKUP($A251,'Case-Specific'!$A$13:$E$85,4,0))&amp;""</f>
        <v>This question does not apply.</v>
      </c>
      <c r="E251" s="330" t="str">
        <f>VLOOKUP($A251,'Case-Specific'!$A$13:$E$85,5,0)&amp;""</f>
        <v>Based on the response to REQU-03 on the "START HERE" tab, this question does not apply to this product or service.</v>
      </c>
      <c r="F251" s="195"/>
      <c r="G251" s="30" t="str">
        <f>VLOOKUP($A251,Questions!$A$2:$X$333,21,0)&amp;""</f>
        <v>No</v>
      </c>
      <c r="H251" s="185"/>
      <c r="I251" s="45" t="str">
        <f>VLOOKUP($A251,Questions!$A$2:$X$333,23,0)&amp;""</f>
        <v>Standard Importance</v>
      </c>
      <c r="J251" s="185"/>
      <c r="K251" s="48" t="b">
        <v>0</v>
      </c>
      <c r="L251" s="1"/>
    </row>
    <row r="252" spans="1:12" s="29" customFormat="1" ht="97.2" x14ac:dyDescent="0.25">
      <c r="A252" s="19" t="str">
        <f>'Case-Specific'!A29</f>
        <v>CONS-07</v>
      </c>
      <c r="B252" s="20" t="str">
        <f>VLOOKUP($A252,'Case-Specific'!$A$13:$E$85,2,0)&amp;""</f>
        <v>Will the consultant require an account within the institution's domain (@*.edu)?</v>
      </c>
      <c r="C252" s="45" t="str">
        <f>VLOOKUP($A252,'Case-Specific'!$A$13:$E$85,3,0)&amp;""</f>
        <v/>
      </c>
      <c r="D252" s="34" t="str">
        <f>IF(LEFT(VLOOKUP($A252,'Case-Specific'!$A$13:$E$85,5,0),21)='Auto Responses'!$A$32,'Auto Responses'!$A$33,VLOOKUP($A252,'Case-Specific'!$A$13:$E$85,4,0))&amp;""</f>
        <v>This question does not apply.</v>
      </c>
      <c r="E252" s="330" t="str">
        <f>VLOOKUP($A252,'Case-Specific'!$A$13:$E$85,5,0)&amp;""</f>
        <v>Based on the response to REQU-03 on the "START HERE" tab, this question does not apply to this product or service.</v>
      </c>
      <c r="F252" s="195"/>
      <c r="G252" s="30" t="str">
        <f>VLOOKUP($A252,Questions!$A$2:$X$333,21,0)&amp;""</f>
        <v>No</v>
      </c>
      <c r="H252" s="185"/>
      <c r="I252" s="45" t="str">
        <f>VLOOKUP($A252,Questions!$A$2:$X$333,23,0)&amp;""</f>
        <v>Standard Importance</v>
      </c>
      <c r="J252" s="185"/>
      <c r="K252" s="48" t="b">
        <v>0</v>
      </c>
      <c r="L252" s="1"/>
    </row>
    <row r="253" spans="1:12" s="29" customFormat="1" ht="97.2" x14ac:dyDescent="0.25">
      <c r="A253" s="19" t="str">
        <f>'Case-Specific'!A30</f>
        <v>CONS-08</v>
      </c>
      <c r="B253" s="20" t="str">
        <f>VLOOKUP($A253,'Case-Specific'!$A$13:$E$85,2,0)&amp;""</f>
        <v>Will any data be transferred to the consultant's possession?</v>
      </c>
      <c r="C253" s="45" t="str">
        <f>VLOOKUP($A253,'Case-Specific'!$A$13:$E$85,3,0)&amp;""</f>
        <v/>
      </c>
      <c r="D253" s="34" t="str">
        <f>IF(LEFT(VLOOKUP($A253,'Case-Specific'!$A$13:$E$85,5,0),21)='Auto Responses'!$A$32,'Auto Responses'!$A$33,VLOOKUP($A253,'Case-Specific'!$A$13:$E$85,4,0))&amp;""</f>
        <v>This question does not apply.</v>
      </c>
      <c r="E253" s="330" t="str">
        <f>VLOOKUP($A253,'Case-Specific'!$A$13:$E$85,5,0)&amp;""</f>
        <v>Based on the response to REQU-03 on the "START HERE" tab, this question does not apply to this product or service.</v>
      </c>
      <c r="F253" s="195"/>
      <c r="G253" s="30" t="str">
        <f>VLOOKUP($A253,Questions!$A$2:$X$333,21,0)&amp;""</f>
        <v>No</v>
      </c>
      <c r="H253" s="185"/>
      <c r="I253" s="45" t="str">
        <f>VLOOKUP($A253,Questions!$A$2:$X$333,23,0)&amp;""</f>
        <v>Standard Importance</v>
      </c>
      <c r="J253" s="185"/>
      <c r="K253" s="48" t="b">
        <v>0</v>
      </c>
      <c r="L253" s="1"/>
    </row>
    <row r="254" spans="1:12" s="29" customFormat="1" ht="97.2" x14ac:dyDescent="0.25">
      <c r="A254" s="19" t="str">
        <f>'Case-Specific'!A31</f>
        <v>CONS-09</v>
      </c>
      <c r="B254" s="20" t="str">
        <f>VLOOKUP($A254,'Case-Specific'!$A$13:$E$85,2,0)&amp;""</f>
        <v>Will the consultant need remote access to the institution's network or systems?</v>
      </c>
      <c r="C254" s="45" t="str">
        <f>VLOOKUP($A254,'Case-Specific'!$A$13:$E$85,3,0)&amp;""</f>
        <v/>
      </c>
      <c r="D254" s="34" t="str">
        <f>IF(LEFT(VLOOKUP($A254,'Case-Specific'!$A$13:$E$85,5,0),21)='Auto Responses'!$A$32,'Auto Responses'!$A$33,VLOOKUP($A254,'Case-Specific'!$A$13:$E$85,4,0))&amp;""</f>
        <v>This question does not apply.</v>
      </c>
      <c r="E254" s="330" t="str">
        <f>VLOOKUP($A254,'Case-Specific'!$A$13:$E$85,5,0)&amp;""</f>
        <v>Based on the response to REQU-03 on the "START HERE" tab, this question does not apply to this product or service.</v>
      </c>
      <c r="F254" s="195"/>
      <c r="G254" s="30" t="str">
        <f>VLOOKUP($A254,Questions!$A$2:$X$333,21,0)&amp;""</f>
        <v>No</v>
      </c>
      <c r="H254" s="185"/>
      <c r="I254" s="45" t="str">
        <f>VLOOKUP($A254,Questions!$A$2:$X$333,23,0)&amp;""</f>
        <v>Standard Importance</v>
      </c>
      <c r="J254" s="185"/>
      <c r="K254" s="48" t="b">
        <v>0</v>
      </c>
      <c r="L254" s="1"/>
    </row>
    <row r="255" spans="1:12" s="1" customFormat="1" ht="17.399999999999999" x14ac:dyDescent="0.25">
      <c r="A255" s="63" t="str">
        <f>VLOOKUP(LEFT($A256,4),'Auto Responses'!$N$4:$O$38,2,0)&amp;""</f>
        <v xml:space="preserve">HIPAA Compliance </v>
      </c>
      <c r="B255" s="22"/>
      <c r="C255" s="31"/>
      <c r="D255" s="31"/>
      <c r="E255" s="331"/>
      <c r="F255" s="131" t="s">
        <v>1030</v>
      </c>
      <c r="G255" s="335" t="s">
        <v>869</v>
      </c>
      <c r="H255" s="335" t="s">
        <v>871</v>
      </c>
      <c r="I255" s="335" t="s">
        <v>19</v>
      </c>
      <c r="J255" s="335" t="s">
        <v>856</v>
      </c>
      <c r="K255" s="335" t="s">
        <v>867</v>
      </c>
    </row>
    <row r="256" spans="1:12" s="29" customFormat="1" ht="97.2" x14ac:dyDescent="0.25">
      <c r="A256" s="19" t="str">
        <f>'Case-Specific'!A33</f>
        <v>HIPA-01</v>
      </c>
      <c r="B256" s="20" t="str">
        <f>VLOOKUP($A256,'Case-Specific'!$A$13:$E$85,2,0)&amp;""</f>
        <v>Do your workforce members receive regular training related to the Health Insurance Portability and Accountability Act (HIPAA) Privacy and Security Rules and the HITECH Act?*</v>
      </c>
      <c r="C256" s="45" t="str">
        <f>VLOOKUP($A256,'Case-Specific'!$A$13:$E$85,3,0)&amp;""</f>
        <v/>
      </c>
      <c r="D256" s="34" t="str">
        <f>IF(LEFT(VLOOKUP($A256,'Case-Specific'!$A$13:$E$85,5,0),21)='Auto Responses'!$A$32,'Auto Responses'!$A$33,VLOOKUP($A256,'Case-Specific'!$A$13:$E$85,4,0))&amp;""</f>
        <v>This question does not apply.</v>
      </c>
      <c r="E256" s="330" t="str">
        <f>VLOOKUP($A256,'Case-Specific'!$A$13:$E$85,5,0)&amp;""</f>
        <v>Based on the response to REQU-05 on the "START HERE" tab, this question does not apply to this product or service.</v>
      </c>
      <c r="F256" s="195"/>
      <c r="G256" s="30" t="str">
        <f>VLOOKUP($A256,Questions!$A$2:$X$333,21,0)&amp;""</f>
        <v>Yes</v>
      </c>
      <c r="H256" s="185"/>
      <c r="I256" s="45" t="str">
        <f>VLOOKUP($A256,Questions!$A$2:$X$333,23,0)&amp;""</f>
        <v>Critical Importance</v>
      </c>
      <c r="J256" s="185"/>
      <c r="K256" s="48" t="b">
        <v>0</v>
      </c>
      <c r="L256" s="1"/>
    </row>
    <row r="257" spans="1:12" s="29" customFormat="1" ht="97.2" x14ac:dyDescent="0.25">
      <c r="A257" s="19" t="str">
        <f>'Case-Specific'!A34</f>
        <v>HIPA-02</v>
      </c>
      <c r="B257" s="20" t="str">
        <f>VLOOKUP($A257,'Case-Specific'!$A$13:$E$85,2,0)&amp;""</f>
        <v>Have you identified areas of risk?*</v>
      </c>
      <c r="C257" s="45" t="str">
        <f>VLOOKUP($A257,'Case-Specific'!$A$13:$E$85,3,0)&amp;""</f>
        <v/>
      </c>
      <c r="D257" s="34" t="str">
        <f>IF(LEFT(VLOOKUP($A257,'Case-Specific'!$A$13:$E$85,5,0),21)='Auto Responses'!$A$32,'Auto Responses'!$A$33,VLOOKUP($A257,'Case-Specific'!$A$13:$E$85,4,0))&amp;""</f>
        <v>This question does not apply.</v>
      </c>
      <c r="E257" s="330" t="str">
        <f>VLOOKUP($A257,'Case-Specific'!$A$13:$E$85,5,0)&amp;""</f>
        <v>Based on the response to REQU-05 on the "START HERE" tab, this question does not apply to this product or service.</v>
      </c>
      <c r="F257" s="195"/>
      <c r="G257" s="30" t="str">
        <f>VLOOKUP($A257,Questions!$A$2:$X$333,21,0)&amp;""</f>
        <v>Yes</v>
      </c>
      <c r="H257" s="185"/>
      <c r="I257" s="45" t="str">
        <f>VLOOKUP($A257,Questions!$A$2:$X$333,23,0)&amp;""</f>
        <v>Critical Importance</v>
      </c>
      <c r="J257" s="185"/>
      <c r="K257" s="48" t="b">
        <v>0</v>
      </c>
      <c r="L257" s="1"/>
    </row>
    <row r="258" spans="1:12" s="29" customFormat="1" ht="97.2" x14ac:dyDescent="0.25">
      <c r="A258" s="19" t="str">
        <f>'Case-Specific'!A35</f>
        <v>HIPA-03</v>
      </c>
      <c r="B258" s="20" t="str">
        <f>VLOOKUP($A258,'Case-Specific'!$A$13:$E$85,2,0)&amp;""</f>
        <v>Have the relevant policies/plans been tested?*</v>
      </c>
      <c r="C258" s="45" t="str">
        <f>VLOOKUP($A258,'Case-Specific'!$A$13:$E$85,3,0)&amp;""</f>
        <v/>
      </c>
      <c r="D258" s="34" t="str">
        <f>IF(LEFT(VLOOKUP($A258,'Case-Specific'!$A$13:$E$85,5,0),21)='Auto Responses'!$A$32,'Auto Responses'!$A$33,VLOOKUP($A258,'Case-Specific'!$A$13:$E$85,4,0))&amp;""</f>
        <v>This question does not apply.</v>
      </c>
      <c r="E258" s="330" t="str">
        <f>VLOOKUP($A258,'Case-Specific'!$A$13:$E$85,5,0)&amp;""</f>
        <v>Based on the response to REQU-05 on the "START HERE" tab, this question does not apply to this product or service.</v>
      </c>
      <c r="F258" s="195"/>
      <c r="G258" s="30" t="str">
        <f>VLOOKUP($A258,Questions!$A$2:$X$333,21,0)&amp;""</f>
        <v>Yes</v>
      </c>
      <c r="H258" s="185"/>
      <c r="I258" s="45" t="str">
        <f>VLOOKUP($A258,Questions!$A$2:$X$333,23,0)&amp;""</f>
        <v>Critical Importance</v>
      </c>
      <c r="J258" s="185"/>
      <c r="K258" s="48" t="b">
        <v>0</v>
      </c>
      <c r="L258" s="1"/>
    </row>
    <row r="259" spans="1:12" s="29" customFormat="1" ht="97.2" x14ac:dyDescent="0.25">
      <c r="A259" s="19" t="str">
        <f>'Case-Specific'!A36</f>
        <v>HIPA-04</v>
      </c>
      <c r="B259" s="20" t="str">
        <f>VLOOKUP($A259,'Case-Specific'!$A$13:$E$85,2,0)&amp;""</f>
        <v>Have you entered into a Business Associate Agreements with all subcontractors who may have access to protected health information (PHI)?*</v>
      </c>
      <c r="C259" s="45" t="str">
        <f>VLOOKUP($A259,'Case-Specific'!$A$13:$E$85,3,0)&amp;""</f>
        <v/>
      </c>
      <c r="D259" s="34" t="str">
        <f>IF(LEFT(VLOOKUP($A259,'Case-Specific'!$A$13:$E$85,5,0),21)='Auto Responses'!$A$32,'Auto Responses'!$A$33,VLOOKUP($A259,'Case-Specific'!$A$13:$E$85,4,0))&amp;""</f>
        <v>This question does not apply.</v>
      </c>
      <c r="E259" s="330" t="str">
        <f>VLOOKUP($A259,'Case-Specific'!$A$13:$E$85,5,0)&amp;""</f>
        <v>Based on the response to REQU-05 on the "START HERE" tab, this question does not apply to this product or service.</v>
      </c>
      <c r="F259" s="195"/>
      <c r="G259" s="30" t="str">
        <f>VLOOKUP($A259,Questions!$A$2:$X$333,21,0)&amp;""</f>
        <v>Yes</v>
      </c>
      <c r="H259" s="185"/>
      <c r="I259" s="45" t="str">
        <f>VLOOKUP($A259,Questions!$A$2:$X$333,23,0)&amp;""</f>
        <v>Critical Importance</v>
      </c>
      <c r="J259" s="185"/>
      <c r="K259" s="48" t="b">
        <v>0</v>
      </c>
      <c r="L259" s="1"/>
    </row>
    <row r="260" spans="1:12" s="29" customFormat="1" ht="97.2" x14ac:dyDescent="0.25">
      <c r="A260" s="19" t="str">
        <f>'Case-Specific'!A37</f>
        <v>HIPA-05</v>
      </c>
      <c r="B260" s="20" t="str">
        <f>VLOOKUP($A260,'Case-Specific'!$A$13:$E$85,2,0)&amp;""</f>
        <v>Do you monitor or receive information regarding changes in HIPAA regulations?</v>
      </c>
      <c r="C260" s="45" t="str">
        <f>VLOOKUP($A260,'Case-Specific'!$A$13:$E$85,3,0)&amp;""</f>
        <v/>
      </c>
      <c r="D260" s="34" t="str">
        <f>IF(LEFT(VLOOKUP($A260,'Case-Specific'!$A$13:$E$85,5,0),21)='Auto Responses'!$A$32,'Auto Responses'!$A$33,VLOOKUP($A260,'Case-Specific'!$A$13:$E$85,4,0))&amp;""</f>
        <v>This question does not apply.</v>
      </c>
      <c r="E260" s="330" t="str">
        <f>VLOOKUP($A260,'Case-Specific'!$A$13:$E$85,5,0)&amp;""</f>
        <v>Based on the response to REQU-05 on the "START HERE" tab, this question does not apply to this product or service.</v>
      </c>
      <c r="F260" s="195"/>
      <c r="G260" s="30" t="str">
        <f>VLOOKUP($A260,Questions!$A$2:$X$333,21,0)&amp;""</f>
        <v>Yes</v>
      </c>
      <c r="H260" s="185"/>
      <c r="I260" s="45" t="str">
        <f>VLOOKUP($A260,Questions!$A$2:$X$333,23,0)&amp;""</f>
        <v>Standard Importance</v>
      </c>
      <c r="J260" s="185"/>
      <c r="K260" s="48" t="b">
        <v>0</v>
      </c>
      <c r="L260" s="1"/>
    </row>
    <row r="261" spans="1:12" s="29" customFormat="1" ht="97.2" x14ac:dyDescent="0.25">
      <c r="A261" s="19" t="str">
        <f>'Case-Specific'!A38</f>
        <v>HIPA-06</v>
      </c>
      <c r="B261" s="20" t="str">
        <f>VLOOKUP($A261,'Case-Specific'!$A$13:$E$85,2,0)&amp;""</f>
        <v>Has your organization designated HIPAA Privacy and Security officers as required by the rules?</v>
      </c>
      <c r="C261" s="45" t="str">
        <f>VLOOKUP($A261,'Case-Specific'!$A$13:$E$85,3,0)&amp;""</f>
        <v/>
      </c>
      <c r="D261" s="34" t="str">
        <f>IF(LEFT(VLOOKUP($A261,'Case-Specific'!$A$13:$E$85,5,0),21)='Auto Responses'!$A$32,'Auto Responses'!$A$33,VLOOKUP($A261,'Case-Specific'!$A$13:$E$85,4,0))&amp;""</f>
        <v>This question does not apply.</v>
      </c>
      <c r="E261" s="330" t="str">
        <f>VLOOKUP($A261,'Case-Specific'!$A$13:$E$85,5,0)&amp;""</f>
        <v>Based on the response to REQU-05 on the "START HERE" tab, this question does not apply to this product or service.</v>
      </c>
      <c r="F261" s="195"/>
      <c r="G261" s="30" t="str">
        <f>VLOOKUP($A261,Questions!$A$2:$X$333,21,0)&amp;""</f>
        <v>Yes</v>
      </c>
      <c r="H261" s="185"/>
      <c r="I261" s="45" t="str">
        <f>VLOOKUP($A261,Questions!$A$2:$X$333,23,0)&amp;""</f>
        <v>Standard Importance</v>
      </c>
      <c r="J261" s="185"/>
      <c r="K261" s="48" t="b">
        <v>0</v>
      </c>
      <c r="L261" s="1"/>
    </row>
    <row r="262" spans="1:12" s="29" customFormat="1" ht="97.2" x14ac:dyDescent="0.25">
      <c r="A262" s="19" t="str">
        <f>'Case-Specific'!A39</f>
        <v>HIPA-07</v>
      </c>
      <c r="B262" s="20" t="str">
        <f>VLOOKUP($A262,'Case-Specific'!$A$13:$E$85,2,0)&amp;""</f>
        <v>Do you comply with the requirements of the Health Information Technology for Economic and Clinical Health Act (HITECH)?</v>
      </c>
      <c r="C262" s="45" t="str">
        <f>VLOOKUP($A262,'Case-Specific'!$A$13:$E$85,3,0)&amp;""</f>
        <v/>
      </c>
      <c r="D262" s="34" t="str">
        <f>IF(LEFT(VLOOKUP($A262,'Case-Specific'!$A$13:$E$85,5,0),21)='Auto Responses'!$A$32,'Auto Responses'!$A$33,VLOOKUP($A262,'Case-Specific'!$A$13:$E$85,4,0))&amp;""</f>
        <v>This question does not apply.</v>
      </c>
      <c r="E262" s="330" t="str">
        <f>VLOOKUP($A262,'Case-Specific'!$A$13:$E$85,5,0)&amp;""</f>
        <v>Based on the response to REQU-05 on the "START HERE" tab, this question does not apply to this product or service.</v>
      </c>
      <c r="F262" s="195"/>
      <c r="G262" s="30" t="str">
        <f>VLOOKUP($A262,Questions!$A$2:$X$333,21,0)&amp;""</f>
        <v>Yes</v>
      </c>
      <c r="H262" s="185"/>
      <c r="I262" s="45" t="str">
        <f>VLOOKUP($A262,Questions!$A$2:$X$333,23,0)&amp;""</f>
        <v>Standard Importance</v>
      </c>
      <c r="J262" s="185"/>
      <c r="K262" s="48" t="b">
        <v>0</v>
      </c>
      <c r="L262" s="1"/>
    </row>
    <row r="263" spans="1:12" s="29" customFormat="1" ht="97.2" x14ac:dyDescent="0.25">
      <c r="A263" s="19" t="str">
        <f>'Case-Specific'!A40</f>
        <v>HIPA-08</v>
      </c>
      <c r="B263" s="20" t="str">
        <f>VLOOKUP($A263,'Case-Specific'!$A$13:$E$85,2,0)&amp;""</f>
        <v>Have you conducted a risk analysis as required under the HIPAA Security Rule?</v>
      </c>
      <c r="C263" s="45" t="str">
        <f>VLOOKUP($A263,'Case-Specific'!$A$13:$E$85,3,0)&amp;""</f>
        <v/>
      </c>
      <c r="D263" s="34" t="str">
        <f>IF(LEFT(VLOOKUP($A263,'Case-Specific'!$A$13:$E$85,5,0),21)='Auto Responses'!$A$32,'Auto Responses'!$A$33,VLOOKUP($A263,'Case-Specific'!$A$13:$E$85,4,0))&amp;""</f>
        <v>This question does not apply.</v>
      </c>
      <c r="E263" s="330" t="str">
        <f>VLOOKUP($A263,'Case-Specific'!$A$13:$E$85,5,0)&amp;""</f>
        <v>Based on the response to REQU-05 on the "START HERE" tab, this question does not apply to this product or service.</v>
      </c>
      <c r="F263" s="195"/>
      <c r="G263" s="30" t="str">
        <f>VLOOKUP($A263,Questions!$A$2:$X$333,21,0)&amp;""</f>
        <v>Yes</v>
      </c>
      <c r="H263" s="185"/>
      <c r="I263" s="45" t="str">
        <f>VLOOKUP($A263,Questions!$A$2:$X$333,23,0)&amp;""</f>
        <v>Standard Importance</v>
      </c>
      <c r="J263" s="185"/>
      <c r="K263" s="48" t="b">
        <v>0</v>
      </c>
      <c r="L263" s="1"/>
    </row>
    <row r="264" spans="1:12" s="29" customFormat="1" ht="97.2" x14ac:dyDescent="0.25">
      <c r="A264" s="19" t="str">
        <f>'Case-Specific'!A41</f>
        <v>HIPA-09</v>
      </c>
      <c r="B264" s="20" t="str">
        <f>VLOOKUP($A264,'Case-Specific'!$A$13:$E$85,2,0)&amp;""</f>
        <v>Have you taken actions to mitigate the identified risks?</v>
      </c>
      <c r="C264" s="45" t="str">
        <f>VLOOKUP($A264,'Case-Specific'!$A$13:$E$85,3,0)&amp;""</f>
        <v/>
      </c>
      <c r="D264" s="34" t="str">
        <f>IF(LEFT(VLOOKUP($A264,'Case-Specific'!$A$13:$E$85,5,0),21)='Auto Responses'!$A$32,'Auto Responses'!$A$33,VLOOKUP($A264,'Case-Specific'!$A$13:$E$85,4,0))&amp;""</f>
        <v>This question does not apply.</v>
      </c>
      <c r="E264" s="330" t="str">
        <f>VLOOKUP($A264,'Case-Specific'!$A$13:$E$85,5,0)&amp;""</f>
        <v>Based on the response to REQU-05 on the "START HERE" tab, this question does not apply to this product or service.</v>
      </c>
      <c r="F264" s="195"/>
      <c r="G264" s="30" t="str">
        <f>VLOOKUP($A264,Questions!$A$2:$X$333,21,0)&amp;""</f>
        <v>Yes</v>
      </c>
      <c r="H264" s="185"/>
      <c r="I264" s="45" t="str">
        <f>VLOOKUP($A264,Questions!$A$2:$X$333,23,0)&amp;""</f>
        <v>Standard Importance</v>
      </c>
      <c r="J264" s="185"/>
      <c r="K264" s="48" t="b">
        <v>0</v>
      </c>
      <c r="L264" s="1"/>
    </row>
    <row r="265" spans="1:12" s="29" customFormat="1" ht="97.2" x14ac:dyDescent="0.25">
      <c r="A265" s="19" t="str">
        <f>'Case-Specific'!A42</f>
        <v>HIPA-10</v>
      </c>
      <c r="B265" s="20" t="str">
        <f>VLOOKUP($A265,'Case-Specific'!$A$13:$E$85,2,0)&amp;""</f>
        <v>Does your application require user and system administrator password changes at a frequency no greater than 90 days?</v>
      </c>
      <c r="C265" s="45" t="str">
        <f>VLOOKUP($A265,'Case-Specific'!$A$13:$E$85,3,0)&amp;""</f>
        <v/>
      </c>
      <c r="D265" s="34" t="str">
        <f>IF(LEFT(VLOOKUP($A265,'Case-Specific'!$A$13:$E$85,5,0),21)='Auto Responses'!$A$32,'Auto Responses'!$A$33,VLOOKUP($A265,'Case-Specific'!$A$13:$E$85,4,0))&amp;""</f>
        <v>This question does not apply.</v>
      </c>
      <c r="E265" s="330" t="str">
        <f>VLOOKUP($A265,'Case-Specific'!$A$13:$E$85,5,0)&amp;""</f>
        <v>Based on the response to REQU-05 on the "START HERE" tab, this question does not apply to this product or service.</v>
      </c>
      <c r="F265" s="195"/>
      <c r="G265" s="30" t="str">
        <f>VLOOKUP($A265,Questions!$A$2:$X$333,21,0)&amp;""</f>
        <v>Yes</v>
      </c>
      <c r="H265" s="185"/>
      <c r="I265" s="45" t="str">
        <f>VLOOKUP($A265,Questions!$A$2:$X$333,23,0)&amp;""</f>
        <v>Standard Importance</v>
      </c>
      <c r="J265" s="185"/>
      <c r="K265" s="48" t="b">
        <v>0</v>
      </c>
      <c r="L265" s="1"/>
    </row>
    <row r="266" spans="1:12" s="29" customFormat="1" ht="97.2" x14ac:dyDescent="0.25">
      <c r="A266" s="19" t="str">
        <f>'Case-Specific'!A43</f>
        <v>HIPA-11</v>
      </c>
      <c r="B266" s="20" t="str">
        <f>VLOOKUP($A266,'Case-Specific'!$A$13:$E$85,2,0)&amp;""</f>
        <v>Does your application require users to set their own password after an administrator reset or on first use of the account?</v>
      </c>
      <c r="C266" s="45" t="str">
        <f>VLOOKUP($A266,'Case-Specific'!$A$13:$E$85,3,0)&amp;""</f>
        <v/>
      </c>
      <c r="D266" s="34" t="str">
        <f>IF(LEFT(VLOOKUP($A266,'Case-Specific'!$A$13:$E$85,5,0),21)='Auto Responses'!$A$32,'Auto Responses'!$A$33,VLOOKUP($A266,'Case-Specific'!$A$13:$E$85,4,0))&amp;""</f>
        <v>This question does not apply.</v>
      </c>
      <c r="E266" s="330" t="str">
        <f>VLOOKUP($A266,'Case-Specific'!$A$13:$E$85,5,0)&amp;""</f>
        <v>Based on the response to REQU-05 on the "START HERE" tab, this question does not apply to this product or service.</v>
      </c>
      <c r="F266" s="195"/>
      <c r="G266" s="30" t="str">
        <f>VLOOKUP($A266,Questions!$A$2:$X$333,21,0)&amp;""</f>
        <v>Yes</v>
      </c>
      <c r="H266" s="185"/>
      <c r="I266" s="45" t="str">
        <f>VLOOKUP($A266,Questions!$A$2:$X$333,23,0)&amp;""</f>
        <v>Standard Importance</v>
      </c>
      <c r="J266" s="185"/>
      <c r="K266" s="48" t="b">
        <v>0</v>
      </c>
      <c r="L266" s="1"/>
    </row>
    <row r="267" spans="1:12" s="29" customFormat="1" ht="97.2" x14ac:dyDescent="0.25">
      <c r="A267" s="19" t="str">
        <f>'Case-Specific'!A44</f>
        <v>HIPA-12</v>
      </c>
      <c r="B267" s="20" t="str">
        <f>VLOOKUP($A267,'Case-Specific'!$A$13:$E$85,2,0)&amp;""</f>
        <v>Does your application lock out an account after a number of failed login attempts?</v>
      </c>
      <c r="C267" s="45" t="str">
        <f>VLOOKUP($A267,'Case-Specific'!$A$13:$E$85,3,0)&amp;""</f>
        <v/>
      </c>
      <c r="D267" s="34" t="str">
        <f>IF(LEFT(VLOOKUP($A267,'Case-Specific'!$A$13:$E$85,5,0),21)='Auto Responses'!$A$32,'Auto Responses'!$A$33,VLOOKUP($A267,'Case-Specific'!$A$13:$E$85,4,0))&amp;""</f>
        <v>This question does not apply.</v>
      </c>
      <c r="E267" s="330" t="str">
        <f>VLOOKUP($A267,'Case-Specific'!$A$13:$E$85,5,0)&amp;""</f>
        <v>Based on the response to REQU-05 on the "START HERE" tab, this question does not apply to this product or service.</v>
      </c>
      <c r="F267" s="195"/>
      <c r="G267" s="30" t="str">
        <f>VLOOKUP($A267,Questions!$A$2:$X$333,21,0)&amp;""</f>
        <v>Yes</v>
      </c>
      <c r="H267" s="185"/>
      <c r="I267" s="45" t="str">
        <f>VLOOKUP($A267,Questions!$A$2:$X$333,23,0)&amp;""</f>
        <v>Standard Importance</v>
      </c>
      <c r="J267" s="185"/>
      <c r="K267" s="48" t="b">
        <v>0</v>
      </c>
      <c r="L267" s="1"/>
    </row>
    <row r="268" spans="1:12" s="29" customFormat="1" ht="97.2" x14ac:dyDescent="0.25">
      <c r="A268" s="19" t="str">
        <f>'Case-Specific'!A45</f>
        <v>HIPA-13</v>
      </c>
      <c r="B268" s="20" t="str">
        <f>VLOOKUP($A268,'Case-Specific'!$A$13:$E$85,2,0)&amp;""</f>
        <v>Does your application automatically lock or log-out an account after a period of inactivity?</v>
      </c>
      <c r="C268" s="45" t="str">
        <f>VLOOKUP($A268,'Case-Specific'!$A$13:$E$85,3,0)&amp;""</f>
        <v/>
      </c>
      <c r="D268" s="34" t="str">
        <f>IF(LEFT(VLOOKUP($A268,'Case-Specific'!$A$13:$E$85,5,0),21)='Auto Responses'!$A$32,'Auto Responses'!$A$33,VLOOKUP($A268,'Case-Specific'!$A$13:$E$85,4,0))&amp;""</f>
        <v>This question does not apply.</v>
      </c>
      <c r="E268" s="330" t="str">
        <f>VLOOKUP($A268,'Case-Specific'!$A$13:$E$85,5,0)&amp;""</f>
        <v>Based on the response to REQU-05 on the "START HERE" tab, this question does not apply to this product or service.</v>
      </c>
      <c r="F268" s="195"/>
      <c r="G268" s="30" t="str">
        <f>VLOOKUP($A268,Questions!$A$2:$X$333,21,0)&amp;""</f>
        <v>Yes</v>
      </c>
      <c r="H268" s="185"/>
      <c r="I268" s="45" t="str">
        <f>VLOOKUP($A268,Questions!$A$2:$X$333,23,0)&amp;""</f>
        <v>Standard Importance</v>
      </c>
      <c r="J268" s="185"/>
      <c r="K268" s="48" t="b">
        <v>0</v>
      </c>
      <c r="L268" s="1"/>
    </row>
    <row r="269" spans="1:12" s="29" customFormat="1" ht="97.2" x14ac:dyDescent="0.25">
      <c r="A269" s="19" t="str">
        <f>'Case-Specific'!A46</f>
        <v>HIPA-14</v>
      </c>
      <c r="B269" s="20" t="str">
        <f>VLOOKUP($A269,'Case-Specific'!$A$13:$E$85,2,0)&amp;""</f>
        <v>Are passwords visible in plain text, whether when stored or entered, including service level accounts (i.e., database accounts, etc.)?</v>
      </c>
      <c r="C269" s="45" t="str">
        <f>VLOOKUP($A269,'Case-Specific'!$A$13:$E$85,3,0)&amp;""</f>
        <v/>
      </c>
      <c r="D269" s="34" t="str">
        <f>IF(LEFT(VLOOKUP($A269,'Case-Specific'!$A$13:$E$85,5,0),21)='Auto Responses'!$A$32,'Auto Responses'!$A$33,VLOOKUP($A269,'Case-Specific'!$A$13:$E$85,4,0))&amp;""</f>
        <v>This question does not apply.</v>
      </c>
      <c r="E269" s="330" t="str">
        <f>VLOOKUP($A269,'Case-Specific'!$A$13:$E$85,5,0)&amp;""</f>
        <v>Based on the response to REQU-05 on the "START HERE" tab, this question does not apply to this product or service.</v>
      </c>
      <c r="F269" s="195"/>
      <c r="G269" s="30" t="str">
        <f>VLOOKUP($A269,Questions!$A$2:$X$333,21,0)&amp;""</f>
        <v>No</v>
      </c>
      <c r="H269" s="185"/>
      <c r="I269" s="45" t="str">
        <f>VLOOKUP($A269,Questions!$A$2:$X$333,23,0)&amp;""</f>
        <v>Standard Importance</v>
      </c>
      <c r="J269" s="185"/>
      <c r="K269" s="48" t="b">
        <v>0</v>
      </c>
      <c r="L269" s="1"/>
    </row>
    <row r="270" spans="1:12" s="29" customFormat="1" ht="97.2" x14ac:dyDescent="0.25">
      <c r="A270" s="19" t="str">
        <f>'Case-Specific'!A47</f>
        <v>HIPA-15</v>
      </c>
      <c r="B270" s="20" t="str">
        <f>VLOOKUP($A270,'Case-Specific'!$A$13:$E$85,2,0)&amp;""</f>
        <v>If the application is institution-hosted, can all service level and administrative account passwords be changed by the institution?</v>
      </c>
      <c r="C270" s="45" t="str">
        <f>VLOOKUP($A270,'Case-Specific'!$A$13:$E$85,3,0)&amp;""</f>
        <v/>
      </c>
      <c r="D270" s="34" t="str">
        <f>IF(LEFT(VLOOKUP($A270,'Case-Specific'!$A$13:$E$85,5,0),21)='Auto Responses'!$A$32,'Auto Responses'!$A$33,VLOOKUP($A270,'Case-Specific'!$A$13:$E$85,4,0))&amp;""</f>
        <v>This question does not apply.</v>
      </c>
      <c r="E270" s="330" t="str">
        <f>VLOOKUP($A270,'Case-Specific'!$A$13:$E$85,5,0)&amp;""</f>
        <v>Based on the response to REQU-05 on the "START HERE" tab, this question does not apply to this product or service.</v>
      </c>
      <c r="F270" s="195"/>
      <c r="G270" s="30" t="str">
        <f>VLOOKUP($A270,Questions!$A$2:$X$333,21,0)&amp;""</f>
        <v>Yes</v>
      </c>
      <c r="H270" s="185"/>
      <c r="I270" s="45" t="str">
        <f>VLOOKUP($A270,Questions!$A$2:$X$333,23,0)&amp;""</f>
        <v>Standard Importance</v>
      </c>
      <c r="J270" s="185"/>
      <c r="K270" s="48" t="b">
        <v>0</v>
      </c>
      <c r="L270" s="1"/>
    </row>
    <row r="271" spans="1:12" s="29" customFormat="1" ht="97.2" x14ac:dyDescent="0.25">
      <c r="A271" s="19" t="str">
        <f>'Case-Specific'!A48</f>
        <v>HIPA-16</v>
      </c>
      <c r="B271" s="20" t="str">
        <f>VLOOKUP($A271,'Case-Specific'!$A$13:$E$85,2,0)&amp;""</f>
        <v>Does your application provide the ability to define user access levels?</v>
      </c>
      <c r="C271" s="45" t="str">
        <f>VLOOKUP($A271,'Case-Specific'!$A$13:$E$85,3,0)&amp;""</f>
        <v/>
      </c>
      <c r="D271" s="34" t="str">
        <f>IF(LEFT(VLOOKUP($A271,'Case-Specific'!$A$13:$E$85,5,0),21)='Auto Responses'!$A$32,'Auto Responses'!$A$33,VLOOKUP($A271,'Case-Specific'!$A$13:$E$85,4,0))&amp;""</f>
        <v>This question does not apply.</v>
      </c>
      <c r="E271" s="330" t="str">
        <f>VLOOKUP($A271,'Case-Specific'!$A$13:$E$85,5,0)&amp;""</f>
        <v>Based on the response to REQU-05 on the "START HERE" tab, this question does not apply to this product or service.</v>
      </c>
      <c r="F271" s="195"/>
      <c r="G271" s="30" t="str">
        <f>VLOOKUP($A271,Questions!$A$2:$X$333,21,0)&amp;""</f>
        <v>Yes</v>
      </c>
      <c r="H271" s="185"/>
      <c r="I271" s="45" t="str">
        <f>VLOOKUP($A271,Questions!$A$2:$X$333,23,0)&amp;""</f>
        <v>Standard Importance</v>
      </c>
      <c r="J271" s="185"/>
      <c r="K271" s="48" t="b">
        <v>0</v>
      </c>
      <c r="L271" s="1"/>
    </row>
    <row r="272" spans="1:12" s="29" customFormat="1" ht="97.2" x14ac:dyDescent="0.25">
      <c r="A272" s="19" t="str">
        <f>'Case-Specific'!A49</f>
        <v>HIPA-17</v>
      </c>
      <c r="B272" s="20" t="str">
        <f>VLOOKUP($A272,'Case-Specific'!$A$13:$E$85,2,0)&amp;""</f>
        <v>Does your application support varying levels of access to administrative tasks defined individually per user?</v>
      </c>
      <c r="C272" s="45" t="str">
        <f>VLOOKUP($A272,'Case-Specific'!$A$13:$E$85,3,0)&amp;""</f>
        <v/>
      </c>
      <c r="D272" s="34" t="str">
        <f>IF(LEFT(VLOOKUP($A272,'Case-Specific'!$A$13:$E$85,5,0),21)='Auto Responses'!$A$32,'Auto Responses'!$A$33,VLOOKUP($A272,'Case-Specific'!$A$13:$E$85,4,0))&amp;""</f>
        <v>This question does not apply.</v>
      </c>
      <c r="E272" s="330" t="str">
        <f>VLOOKUP($A272,'Case-Specific'!$A$13:$E$85,5,0)&amp;""</f>
        <v>Based on the response to REQU-05 on the "START HERE" tab, this question does not apply to this product or service.</v>
      </c>
      <c r="F272" s="195"/>
      <c r="G272" s="30" t="str">
        <f>VLOOKUP($A272,Questions!$A$2:$X$333,21,0)&amp;""</f>
        <v>Yes</v>
      </c>
      <c r="H272" s="185"/>
      <c r="I272" s="45" t="str">
        <f>VLOOKUP($A272,Questions!$A$2:$X$333,23,0)&amp;""</f>
        <v>Standard Importance</v>
      </c>
      <c r="J272" s="185"/>
      <c r="K272" s="48" t="b">
        <v>0</v>
      </c>
      <c r="L272" s="1"/>
    </row>
    <row r="273" spans="1:12" s="29" customFormat="1" ht="97.2" x14ac:dyDescent="0.25">
      <c r="A273" s="19" t="str">
        <f>'Case-Specific'!A50</f>
        <v>HIPA-18</v>
      </c>
      <c r="B273" s="20" t="str">
        <f>VLOOKUP($A273,'Case-Specific'!$A$13:$E$85,2,0)&amp;""</f>
        <v>Does your application support varying levels of access to records based on user ID?</v>
      </c>
      <c r="C273" s="45" t="str">
        <f>VLOOKUP($A273,'Case-Specific'!$A$13:$E$85,3,0)&amp;""</f>
        <v/>
      </c>
      <c r="D273" s="34" t="str">
        <f>IF(LEFT(VLOOKUP($A273,'Case-Specific'!$A$13:$E$85,5,0),21)='Auto Responses'!$A$32,'Auto Responses'!$A$33,VLOOKUP($A273,'Case-Specific'!$A$13:$E$85,4,0))&amp;""</f>
        <v>This question does not apply.</v>
      </c>
      <c r="E273" s="330" t="str">
        <f>VLOOKUP($A273,'Case-Specific'!$A$13:$E$85,5,0)&amp;""</f>
        <v>Based on the response to REQU-05 on the "START HERE" tab, this question does not apply to this product or service.</v>
      </c>
      <c r="F273" s="195"/>
      <c r="G273" s="30" t="str">
        <f>VLOOKUP($A273,Questions!$A$2:$X$333,21,0)&amp;""</f>
        <v>No</v>
      </c>
      <c r="H273" s="185"/>
      <c r="I273" s="45" t="str">
        <f>VLOOKUP($A273,Questions!$A$2:$X$333,23,0)&amp;""</f>
        <v>Standard Importance</v>
      </c>
      <c r="J273" s="185"/>
      <c r="K273" s="48" t="b">
        <v>0</v>
      </c>
      <c r="L273" s="1"/>
    </row>
    <row r="274" spans="1:12" s="29" customFormat="1" ht="97.2" x14ac:dyDescent="0.25">
      <c r="A274" s="19" t="str">
        <f>'Case-Specific'!A51</f>
        <v>HIPA-19</v>
      </c>
      <c r="B274" s="20" t="str">
        <f>VLOOKUP($A274,'Case-Specific'!$A$13:$E$85,2,0)&amp;""</f>
        <v>Is there a limit to the number of groups to which a user can be assigned?</v>
      </c>
      <c r="C274" s="45" t="str">
        <f>VLOOKUP($A274,'Case-Specific'!$A$13:$E$85,3,0)&amp;""</f>
        <v/>
      </c>
      <c r="D274" s="34" t="str">
        <f>IF(LEFT(VLOOKUP($A274,'Case-Specific'!$A$13:$E$85,5,0),21)='Auto Responses'!$A$32,'Auto Responses'!$A$33,VLOOKUP($A274,'Case-Specific'!$A$13:$E$85,4,0))&amp;""</f>
        <v>This question does not apply.</v>
      </c>
      <c r="E274" s="330" t="str">
        <f>VLOOKUP($A274,'Case-Specific'!$A$13:$E$85,5,0)&amp;""</f>
        <v>Based on the response to REQU-05 on the "START HERE" tab, this question does not apply to this product or service.</v>
      </c>
      <c r="F274" s="195"/>
      <c r="G274" s="30" t="str">
        <f>VLOOKUP($A274,Questions!$A$2:$X$333,21,0)&amp;""</f>
        <v>Yes</v>
      </c>
      <c r="H274" s="185"/>
      <c r="I274" s="45" t="str">
        <f>VLOOKUP($A274,Questions!$A$2:$X$333,23,0)&amp;""</f>
        <v>Standard Importance</v>
      </c>
      <c r="J274" s="185"/>
      <c r="K274" s="48" t="b">
        <v>0</v>
      </c>
      <c r="L274" s="1"/>
    </row>
    <row r="275" spans="1:12" s="29" customFormat="1" ht="97.2" x14ac:dyDescent="0.25">
      <c r="A275" s="19" t="str">
        <f>'Case-Specific'!A52</f>
        <v>HIPA-20</v>
      </c>
      <c r="B275" s="20" t="str">
        <f>VLOOKUP($A275,'Case-Specific'!$A$13:$E$85,2,0)&amp;""</f>
        <v>Do accounts used for solution provider-supplied remote support abide by the same authentication policies and access logging as the rest of the system?</v>
      </c>
      <c r="C275" s="45" t="str">
        <f>VLOOKUP($A275,'Case-Specific'!$A$13:$E$85,3,0)&amp;""</f>
        <v/>
      </c>
      <c r="D275" s="34" t="str">
        <f>IF(LEFT(VLOOKUP($A275,'Case-Specific'!$A$13:$E$85,5,0),21)='Auto Responses'!$A$32,'Auto Responses'!$A$33,VLOOKUP($A275,'Case-Specific'!$A$13:$E$85,4,0))&amp;""</f>
        <v>This question does not apply.</v>
      </c>
      <c r="E275" s="330" t="str">
        <f>VLOOKUP($A275,'Case-Specific'!$A$13:$E$85,5,0)&amp;""</f>
        <v>Based on the response to REQU-05 on the "START HERE" tab, this question does not apply to this product or service.</v>
      </c>
      <c r="F275" s="195"/>
      <c r="G275" s="30" t="str">
        <f>VLOOKUP($A275,Questions!$A$2:$X$333,21,0)&amp;""</f>
        <v>Yes</v>
      </c>
      <c r="H275" s="185"/>
      <c r="I275" s="45" t="str">
        <f>VLOOKUP($A275,Questions!$A$2:$X$333,23,0)&amp;""</f>
        <v>Standard Importance</v>
      </c>
      <c r="J275" s="185"/>
      <c r="K275" s="48" t="b">
        <v>0</v>
      </c>
      <c r="L275" s="1"/>
    </row>
    <row r="276" spans="1:12" s="29" customFormat="1" ht="97.2" x14ac:dyDescent="0.25">
      <c r="A276" s="19" t="str">
        <f>'Case-Specific'!A53</f>
        <v>HIPA-21</v>
      </c>
      <c r="B276" s="20" t="str">
        <f>VLOOKUP($A276,'Case-Specific'!$A$13:$E$85,2,0)&amp;""</f>
        <v>Does the application log record access including specific user, date/time of access, and originating IP or device?</v>
      </c>
      <c r="C276" s="45" t="str">
        <f>VLOOKUP($A276,'Case-Specific'!$A$13:$E$85,3,0)&amp;""</f>
        <v/>
      </c>
      <c r="D276" s="34" t="str">
        <f>IF(LEFT(VLOOKUP($A276,'Case-Specific'!$A$13:$E$85,5,0),21)='Auto Responses'!$A$32,'Auto Responses'!$A$33,VLOOKUP($A276,'Case-Specific'!$A$13:$E$85,4,0))&amp;""</f>
        <v>This question does not apply.</v>
      </c>
      <c r="E276" s="330" t="str">
        <f>VLOOKUP($A276,'Case-Specific'!$A$13:$E$85,5,0)&amp;""</f>
        <v>Based on the response to REQU-05 on the "START HERE" tab, this question does not apply to this product or service.</v>
      </c>
      <c r="F276" s="195"/>
      <c r="G276" s="30" t="str">
        <f>VLOOKUP($A276,Questions!$A$2:$X$333,21,0)&amp;""</f>
        <v>Yes</v>
      </c>
      <c r="H276" s="185"/>
      <c r="I276" s="45" t="str">
        <f>VLOOKUP($A276,Questions!$A$2:$X$333,23,0)&amp;""</f>
        <v>Standard Importance</v>
      </c>
      <c r="J276" s="185"/>
      <c r="K276" s="48" t="b">
        <v>0</v>
      </c>
      <c r="L276" s="1"/>
    </row>
    <row r="277" spans="1:12" s="29" customFormat="1" ht="97.2" x14ac:dyDescent="0.25">
      <c r="A277" s="19" t="str">
        <f>'Case-Specific'!A54</f>
        <v>HIPA-22</v>
      </c>
      <c r="B277" s="20" t="str">
        <f>VLOOKUP($A277,'Case-Specific'!$A$13:$E$85,2,0)&amp;""</f>
        <v>Does the application log administrative activity, such as user account access changes and password changes, including specific user, date/time of changes, and originating IP or device?</v>
      </c>
      <c r="C277" s="45" t="str">
        <f>VLOOKUP($A277,'Case-Specific'!$A$13:$E$85,3,0)&amp;""</f>
        <v/>
      </c>
      <c r="D277" s="34" t="str">
        <f>IF(LEFT(VLOOKUP($A277,'Case-Specific'!$A$13:$E$85,5,0),21)='Auto Responses'!$A$32,'Auto Responses'!$A$33,VLOOKUP($A277,'Case-Specific'!$A$13:$E$85,4,0))&amp;""</f>
        <v>This question does not apply.</v>
      </c>
      <c r="E277" s="330" t="str">
        <f>VLOOKUP($A277,'Case-Specific'!$A$13:$E$85,5,0)&amp;""</f>
        <v>Based on the response to REQU-05 on the "START HERE" tab, this question does not apply to this product or service.</v>
      </c>
      <c r="F277" s="195"/>
      <c r="G277" s="30" t="str">
        <f>VLOOKUP($A277,Questions!$A$2:$X$333,21,0)&amp;""</f>
        <v>Yes</v>
      </c>
      <c r="H277" s="185"/>
      <c r="I277" s="45" t="str">
        <f>VLOOKUP($A277,Questions!$A$2:$X$333,23,0)&amp;""</f>
        <v>Standard Importance</v>
      </c>
      <c r="J277" s="185"/>
      <c r="K277" s="48" t="b">
        <v>0</v>
      </c>
      <c r="L277" s="1"/>
    </row>
    <row r="278" spans="1:12" s="29" customFormat="1" ht="97.2" x14ac:dyDescent="0.25">
      <c r="A278" s="19" t="str">
        <f>'Case-Specific'!A55</f>
        <v>HIPA-23</v>
      </c>
      <c r="B278" s="20" t="str">
        <f>VLOOKUP($A278,'Case-Specific'!$A$13:$E$85,2,0)&amp;""</f>
        <v>Do you retain logs for at least as long as required by HIPAA regulations?</v>
      </c>
      <c r="C278" s="45" t="str">
        <f>VLOOKUP($A278,'Case-Specific'!$A$13:$E$85,3,0)&amp;""</f>
        <v/>
      </c>
      <c r="D278" s="34" t="str">
        <f>IF(LEFT(VLOOKUP($A278,'Case-Specific'!$A$13:$E$85,5,0),21)='Auto Responses'!$A$32,'Auto Responses'!$A$33,VLOOKUP($A278,'Case-Specific'!$A$13:$E$85,4,0))&amp;""</f>
        <v>This question does not apply.</v>
      </c>
      <c r="E278" s="330" t="str">
        <f>VLOOKUP($A278,'Case-Specific'!$A$13:$E$85,5,0)&amp;""</f>
        <v>Based on the response to REQU-05 on the "START HERE" tab, this question does not apply to this product or service.</v>
      </c>
      <c r="F278" s="195"/>
      <c r="G278" s="30" t="str">
        <f>VLOOKUP($A278,Questions!$A$2:$X$333,21,0)&amp;""</f>
        <v>Yes</v>
      </c>
      <c r="H278" s="185"/>
      <c r="I278" s="45" t="str">
        <f>VLOOKUP($A278,Questions!$A$2:$X$333,23,0)&amp;""</f>
        <v>Standard Importance</v>
      </c>
      <c r="J278" s="185"/>
      <c r="K278" s="48" t="b">
        <v>0</v>
      </c>
      <c r="L278" s="1"/>
    </row>
    <row r="279" spans="1:12" s="29" customFormat="1" ht="97.2" x14ac:dyDescent="0.25">
      <c r="A279" s="19" t="str">
        <f>'Case-Specific'!A56</f>
        <v>HIPA-24</v>
      </c>
      <c r="B279" s="20" t="str">
        <f>VLOOKUP($A279,'Case-Specific'!$A$13:$E$85,2,0)&amp;""</f>
        <v>Can the application logs be archived?</v>
      </c>
      <c r="C279" s="45" t="str">
        <f>VLOOKUP($A279,'Case-Specific'!$A$13:$E$85,3,0)&amp;""</f>
        <v/>
      </c>
      <c r="D279" s="34" t="str">
        <f>IF(LEFT(VLOOKUP($A279,'Case-Specific'!$A$13:$E$85,5,0),21)='Auto Responses'!$A$32,'Auto Responses'!$A$33,VLOOKUP($A279,'Case-Specific'!$A$13:$E$85,4,0))&amp;""</f>
        <v>This question does not apply.</v>
      </c>
      <c r="E279" s="330" t="str">
        <f>VLOOKUP($A279,'Case-Specific'!$A$13:$E$85,5,0)&amp;""</f>
        <v>Based on the response to REQU-05 on the "START HERE" tab, this question does not apply to this product or service.</v>
      </c>
      <c r="F279" s="195"/>
      <c r="G279" s="30" t="str">
        <f>VLOOKUP($A279,Questions!$A$2:$X$333,21,0)&amp;""</f>
        <v>Yes</v>
      </c>
      <c r="H279" s="185"/>
      <c r="I279" s="45" t="str">
        <f>VLOOKUP($A279,Questions!$A$2:$X$333,23,0)&amp;""</f>
        <v>Standard Importance</v>
      </c>
      <c r="J279" s="185"/>
      <c r="K279" s="48" t="b">
        <v>0</v>
      </c>
      <c r="L279" s="1"/>
    </row>
    <row r="280" spans="1:12" s="29" customFormat="1" ht="97.2" x14ac:dyDescent="0.25">
      <c r="A280" s="19" t="str">
        <f>'Case-Specific'!A57</f>
        <v>HIPA-25</v>
      </c>
      <c r="B280" s="20" t="str">
        <f>VLOOKUP($A280,'Case-Specific'!$A$13:$E$85,2,0)&amp;""</f>
        <v>Can the application logs be saved externally?</v>
      </c>
      <c r="C280" s="45" t="str">
        <f>VLOOKUP($A280,'Case-Specific'!$A$13:$E$85,3,0)&amp;""</f>
        <v/>
      </c>
      <c r="D280" s="34" t="str">
        <f>IF(LEFT(VLOOKUP($A280,'Case-Specific'!$A$13:$E$85,5,0),21)='Auto Responses'!$A$32,'Auto Responses'!$A$33,VLOOKUP($A280,'Case-Specific'!$A$13:$E$85,4,0))&amp;""</f>
        <v>This question does not apply.</v>
      </c>
      <c r="E280" s="330" t="str">
        <f>VLOOKUP($A280,'Case-Specific'!$A$13:$E$85,5,0)&amp;""</f>
        <v>Based on the response to REQU-05 on the "START HERE" tab, this question does not apply to this product or service.</v>
      </c>
      <c r="F280" s="195"/>
      <c r="G280" s="30" t="str">
        <f>VLOOKUP($A280,Questions!$A$2:$X$333,21,0)&amp;""</f>
        <v>Yes</v>
      </c>
      <c r="H280" s="185"/>
      <c r="I280" s="45" t="str">
        <f>VLOOKUP($A280,Questions!$A$2:$X$333,23,0)&amp;""</f>
        <v>Standard Importance</v>
      </c>
      <c r="J280" s="185"/>
      <c r="K280" s="48" t="b">
        <v>0</v>
      </c>
      <c r="L280" s="1"/>
    </row>
    <row r="281" spans="1:12" s="29" customFormat="1" ht="97.2" x14ac:dyDescent="0.25">
      <c r="A281" s="19" t="str">
        <f>'Case-Specific'!A58</f>
        <v>HIPA-26</v>
      </c>
      <c r="B281" s="20" t="str">
        <f>VLOOKUP($A281,'Case-Specific'!$A$13:$E$85,2,0)&amp;""</f>
        <v>Do you have a disaster recovery plan and emergency mode operation plan?</v>
      </c>
      <c r="C281" s="45" t="str">
        <f>VLOOKUP($A281,'Case-Specific'!$A$13:$E$85,3,0)&amp;""</f>
        <v/>
      </c>
      <c r="D281" s="34" t="str">
        <f>IF(LEFT(VLOOKUP($A281,'Case-Specific'!$A$13:$E$85,5,0),21)='Auto Responses'!$A$32,'Auto Responses'!$A$33,VLOOKUP($A281,'Case-Specific'!$A$13:$E$85,4,0))&amp;""</f>
        <v>This question does not apply.</v>
      </c>
      <c r="E281" s="330" t="str">
        <f>VLOOKUP($A281,'Case-Specific'!$A$13:$E$85,5,0)&amp;""</f>
        <v>Based on the response to REQU-05 on the "START HERE" tab, this question does not apply to this product or service.</v>
      </c>
      <c r="F281" s="195"/>
      <c r="G281" s="30" t="str">
        <f>VLOOKUP($A281,Questions!$A$2:$X$333,21,0)&amp;""</f>
        <v>Yes</v>
      </c>
      <c r="H281" s="185"/>
      <c r="I281" s="45" t="str">
        <f>VLOOKUP($A281,Questions!$A$2:$X$333,23,0)&amp;""</f>
        <v>Standard Importance</v>
      </c>
      <c r="J281" s="185"/>
      <c r="K281" s="48" t="b">
        <v>0</v>
      </c>
      <c r="L281" s="1"/>
    </row>
    <row r="282" spans="1:12" s="29" customFormat="1" ht="97.2" x14ac:dyDescent="0.25">
      <c r="A282" s="19" t="str">
        <f>'Case-Specific'!A59</f>
        <v>HIPA-27</v>
      </c>
      <c r="B282" s="20" t="str">
        <f>VLOOKUP($A282,'Case-Specific'!$A$13:$E$85,2,0)&amp;""</f>
        <v>Can you provide a HIPAA compliance attestation document?</v>
      </c>
      <c r="C282" s="45" t="str">
        <f>VLOOKUP($A282,'Case-Specific'!$A$13:$E$85,3,0)&amp;""</f>
        <v/>
      </c>
      <c r="D282" s="34" t="str">
        <f>IF(LEFT(VLOOKUP($A282,'Case-Specific'!$A$13:$E$85,5,0),21)='Auto Responses'!$A$32,'Auto Responses'!$A$33,VLOOKUP($A282,'Case-Specific'!$A$13:$E$85,4,0))&amp;""</f>
        <v>This question does not apply.</v>
      </c>
      <c r="E282" s="330" t="str">
        <f>VLOOKUP($A282,'Case-Specific'!$A$13:$E$85,5,0)&amp;""</f>
        <v>Based on the response to REQU-05 on the "START HERE" tab, this question does not apply to this product or service.</v>
      </c>
      <c r="F282" s="195"/>
      <c r="G282" s="30" t="str">
        <f>VLOOKUP($A282,Questions!$A$2:$X$333,21,0)&amp;""</f>
        <v>Yes</v>
      </c>
      <c r="H282" s="185"/>
      <c r="I282" s="45" t="str">
        <f>VLOOKUP($A282,Questions!$A$2:$X$333,23,0)&amp;""</f>
        <v>Standard Importance</v>
      </c>
      <c r="J282" s="185"/>
      <c r="K282" s="48" t="b">
        <v>0</v>
      </c>
      <c r="L282" s="1"/>
    </row>
    <row r="283" spans="1:12" s="29" customFormat="1" ht="97.2" x14ac:dyDescent="0.25">
      <c r="A283" s="19" t="str">
        <f>'Case-Specific'!A60</f>
        <v>HIPA-28</v>
      </c>
      <c r="B283" s="20" t="str">
        <f>VLOOKUP($A283,'Case-Specific'!$A$13:$E$85,2,0)&amp;""</f>
        <v>Are you willing to enter into a Business Associate Agreement (BAA)?</v>
      </c>
      <c r="C283" s="45" t="str">
        <f>VLOOKUP($A283,'Case-Specific'!$A$13:$E$85,3,0)&amp;""</f>
        <v/>
      </c>
      <c r="D283" s="34" t="str">
        <f>IF(LEFT(VLOOKUP($A283,'Case-Specific'!$A$13:$E$85,5,0),21)='Auto Responses'!$A$32,'Auto Responses'!$A$33,VLOOKUP($A283,'Case-Specific'!$A$13:$E$85,4,0))&amp;""</f>
        <v>This question does not apply.</v>
      </c>
      <c r="E283" s="330" t="str">
        <f>VLOOKUP($A283,'Case-Specific'!$A$13:$E$85,5,0)&amp;""</f>
        <v>Based on the response to REQU-05 on the "START HERE" tab, this question does not apply to this product or service.</v>
      </c>
      <c r="F283" s="195"/>
      <c r="G283" s="30" t="str">
        <f>VLOOKUP($A283,Questions!$A$2:$X$333,21,0)&amp;""</f>
        <v>Yes</v>
      </c>
      <c r="H283" s="185"/>
      <c r="I283" s="45" t="str">
        <f>VLOOKUP($A283,Questions!$A$2:$X$333,23,0)&amp;""</f>
        <v>Standard Importance</v>
      </c>
      <c r="J283" s="185"/>
      <c r="K283" s="48" t="b">
        <v>0</v>
      </c>
      <c r="L283" s="1"/>
    </row>
    <row r="284" spans="1:12" s="29" customFormat="1" ht="97.2" x14ac:dyDescent="0.25">
      <c r="A284" s="19" t="str">
        <f>'Case-Specific'!A61</f>
        <v>HIPA-29</v>
      </c>
      <c r="B284" s="20" t="str">
        <f>VLOOKUP($A284,'Case-Specific'!$A$13:$E$85,2,0)&amp;""</f>
        <v>Do your data backup and retention policies and practices meet HIPAA requirements?</v>
      </c>
      <c r="C284" s="45" t="str">
        <f>VLOOKUP($A284,'Case-Specific'!$A$13:$E$85,3,0)&amp;""</f>
        <v/>
      </c>
      <c r="D284" s="34" t="str">
        <f>IF(LEFT(VLOOKUP($A284,'Case-Specific'!$A$13:$E$85,5,0),21)='Auto Responses'!$A$32,'Auto Responses'!$A$33,VLOOKUP($A284,'Case-Specific'!$A$13:$E$85,4,0))&amp;""</f>
        <v>This question does not apply.</v>
      </c>
      <c r="E284" s="330" t="str">
        <f>VLOOKUP($A284,'Case-Specific'!$A$13:$E$85,5,0)&amp;""</f>
        <v>Based on the response to REQU-05 on the "START HERE" tab, this question does not apply to this product or service.</v>
      </c>
      <c r="F284" s="195"/>
      <c r="G284" s="30" t="str">
        <f>VLOOKUP($A284,Questions!$A$2:$X$333,21,0)&amp;""</f>
        <v>Yes</v>
      </c>
      <c r="H284" s="185"/>
      <c r="I284" s="45" t="str">
        <f>VLOOKUP($A284,Questions!$A$2:$X$333,23,0)&amp;""</f>
        <v>Minor Importance</v>
      </c>
      <c r="J284" s="185"/>
      <c r="K284" s="48" t="b">
        <v>0</v>
      </c>
      <c r="L284" s="1"/>
    </row>
    <row r="285" spans="1:12" s="1" customFormat="1" ht="17.399999999999999" x14ac:dyDescent="0.25">
      <c r="A285" s="63" t="str">
        <f>VLOOKUP(LEFT($A286,4),'Auto Responses'!$N$4:$O$38,2,0)&amp;""</f>
        <v xml:space="preserve"> Payment Card Industry Data Security Standard (PCI DSS)</v>
      </c>
      <c r="B285" s="22"/>
      <c r="C285" s="31"/>
      <c r="D285" s="31"/>
      <c r="E285" s="331"/>
      <c r="F285" s="131" t="s">
        <v>1030</v>
      </c>
      <c r="G285" s="335" t="s">
        <v>869</v>
      </c>
      <c r="H285" s="335" t="s">
        <v>871</v>
      </c>
      <c r="I285" s="335" t="s">
        <v>19</v>
      </c>
      <c r="J285" s="335" t="s">
        <v>856</v>
      </c>
      <c r="K285" s="335" t="s">
        <v>867</v>
      </c>
    </row>
    <row r="286" spans="1:12" s="29" customFormat="1" ht="97.2" x14ac:dyDescent="0.25">
      <c r="A286" s="19" t="str">
        <f>'Case-Specific'!A63</f>
        <v>PCID-01</v>
      </c>
      <c r="B286" s="20" t="str">
        <f>VLOOKUP($A286,'Case-Specific'!$A$13:$E$85,2,0)&amp;""</f>
        <v>Do you have a current, executed within the past year, Attestation of Compliance (AoC) or Report on Compliance (RoC)?*</v>
      </c>
      <c r="C286" s="45" t="str">
        <f>VLOOKUP($A286,'Case-Specific'!$A$13:$E$85,3,0)&amp;""</f>
        <v/>
      </c>
      <c r="D286" s="34" t="str">
        <f>IF(LEFT(VLOOKUP($A286,'Case-Specific'!$A$13:$E$85,5,0),21)='Auto Responses'!$A$32,'Auto Responses'!$A$33,VLOOKUP($A286,'Case-Specific'!$A$13:$E$85,4,0))&amp;""</f>
        <v>This question does not apply.</v>
      </c>
      <c r="E286" s="330" t="str">
        <f>VLOOKUP($A286,'Case-Specific'!$A$13:$E$85,5,0)&amp;""</f>
        <v>Based on the response to REQU-06 on the "START HERE" tab, this question does not apply to this product or service.</v>
      </c>
      <c r="F286" s="195"/>
      <c r="G286" s="30" t="str">
        <f>VLOOKUP($A286,Questions!$A$2:$X$333,21,0)&amp;""</f>
        <v>Yes</v>
      </c>
      <c r="H286" s="185"/>
      <c r="I286" s="45" t="str">
        <f>VLOOKUP($A286,Questions!$A$2:$X$333,23,0)&amp;""</f>
        <v>Critical Importance</v>
      </c>
      <c r="J286" s="185"/>
      <c r="K286" s="48" t="b">
        <v>0</v>
      </c>
      <c r="L286" s="1"/>
    </row>
    <row r="287" spans="1:12" s="29" customFormat="1" ht="97.2" x14ac:dyDescent="0.25">
      <c r="A287" s="19" t="str">
        <f>'Case-Specific'!A64</f>
        <v>PCID-02</v>
      </c>
      <c r="B287" s="20" t="str">
        <f>VLOOKUP($A287,'Case-Specific'!$A$13:$E$85,2,0)&amp;""</f>
        <v>Is the application listed as an approved Payment Application Data Security Standard (PA-DSS) application?*</v>
      </c>
      <c r="C287" s="45" t="str">
        <f>VLOOKUP($A287,'Case-Specific'!$A$13:$E$85,3,0)&amp;""</f>
        <v/>
      </c>
      <c r="D287" s="34" t="str">
        <f>IF(LEFT(VLOOKUP($A287,'Case-Specific'!$A$13:$E$85,5,0),21)='Auto Responses'!$A$32,'Auto Responses'!$A$33,VLOOKUP($A287,'Case-Specific'!$A$13:$E$85,4,0))&amp;""</f>
        <v>This question does not apply.</v>
      </c>
      <c r="E287" s="330" t="str">
        <f>VLOOKUP($A287,'Case-Specific'!$A$13:$E$85,5,0)&amp;""</f>
        <v>Based on the response to REQU-06 on the "START HERE" tab, this question does not apply to this product or service.</v>
      </c>
      <c r="F287" s="195"/>
      <c r="G287" s="30" t="str">
        <f>VLOOKUP($A287,Questions!$A$2:$X$333,21,0)&amp;""</f>
        <v>No</v>
      </c>
      <c r="H287" s="185"/>
      <c r="I287" s="45" t="str">
        <f>VLOOKUP($A287,Questions!$A$2:$X$333,23,0)&amp;""</f>
        <v>Critical Importance</v>
      </c>
      <c r="J287" s="185"/>
      <c r="K287" s="48" t="b">
        <v>0</v>
      </c>
      <c r="L287" s="1"/>
    </row>
    <row r="288" spans="1:12" s="29" customFormat="1" ht="97.2" x14ac:dyDescent="0.25">
      <c r="A288" s="19" t="str">
        <f>'Case-Specific'!A65</f>
        <v>PCID-03</v>
      </c>
      <c r="B288" s="20" t="str">
        <f>VLOOKUP($A288,'Case-Specific'!$A$13:$E$85,2,0)&amp;""</f>
        <v>Does the system or solutions use a third party to collect, store, process, or transmit cardholder (payment/credit/debt card) data?*</v>
      </c>
      <c r="C288" s="45" t="str">
        <f>VLOOKUP($A288,'Case-Specific'!$A$13:$E$85,3,0)&amp;""</f>
        <v/>
      </c>
      <c r="D288" s="34" t="str">
        <f>IF(LEFT(VLOOKUP($A288,'Case-Specific'!$A$13:$E$85,5,0),21)='Auto Responses'!$A$32,'Auto Responses'!$A$33,VLOOKUP($A288,'Case-Specific'!$A$13:$E$85,4,0))&amp;""</f>
        <v>This question does not apply.</v>
      </c>
      <c r="E288" s="330" t="str">
        <f>VLOOKUP($A288,'Case-Specific'!$A$13:$E$85,5,0)&amp;""</f>
        <v>Based on the response to REQU-06 on the "START HERE" tab, this question does not apply to this product or service.</v>
      </c>
      <c r="F288" s="195"/>
      <c r="G288" s="30" t="str">
        <f>VLOOKUP($A288,Questions!$A$2:$X$333,21,0)&amp;""</f>
        <v>No</v>
      </c>
      <c r="H288" s="185"/>
      <c r="I288" s="45" t="str">
        <f>VLOOKUP($A288,Questions!$A$2:$X$333,23,0)&amp;""</f>
        <v>Critical Importance</v>
      </c>
      <c r="J288" s="185"/>
      <c r="K288" s="48" t="b">
        <v>0</v>
      </c>
      <c r="L288" s="1"/>
    </row>
    <row r="289" spans="1:12" s="29" customFormat="1" ht="97.2" x14ac:dyDescent="0.25">
      <c r="A289" s="19" t="str">
        <f>'Case-Specific'!A66</f>
        <v>PCID-04</v>
      </c>
      <c r="B289" s="20" t="str">
        <f>VLOOKUP($A289,'Case-Specific'!$A$13:$E$85,2,0)&amp;""</f>
        <v>Do your systems or solutions store, process, or transmit cardholder (payment/credit/debt card) data?</v>
      </c>
      <c r="C289" s="45" t="str">
        <f>VLOOKUP($A289,'Case-Specific'!$A$13:$E$85,3,0)&amp;""</f>
        <v/>
      </c>
      <c r="D289" s="34" t="str">
        <f>IF(LEFT(VLOOKUP($A289,'Case-Specific'!$A$13:$E$85,5,0),21)='Auto Responses'!$A$32,'Auto Responses'!$A$33,VLOOKUP($A289,'Case-Specific'!$A$13:$E$85,4,0))&amp;""</f>
        <v>This question does not apply.</v>
      </c>
      <c r="E289" s="330" t="str">
        <f>VLOOKUP($A289,'Case-Specific'!$A$13:$E$85,5,0)&amp;""</f>
        <v>Based on the response to REQU-06 on the "START HERE" tab, this question does not apply to this product or service.</v>
      </c>
      <c r="F289" s="195"/>
      <c r="G289" s="30" t="str">
        <f>VLOOKUP($A289,Questions!$A$2:$X$333,21,0)&amp;""</f>
        <v>Yes</v>
      </c>
      <c r="H289" s="185"/>
      <c r="I289" s="45" t="str">
        <f>VLOOKUP($A289,Questions!$A$2:$X$333,23,0)&amp;""</f>
        <v>Standard Importance</v>
      </c>
      <c r="J289" s="185"/>
      <c r="K289" s="48" t="b">
        <v>0</v>
      </c>
      <c r="L289" s="1"/>
    </row>
    <row r="290" spans="1:12" s="29" customFormat="1" ht="97.2" x14ac:dyDescent="0.25">
      <c r="A290" s="19" t="str">
        <f>'Case-Specific'!A67</f>
        <v>PCID-05</v>
      </c>
      <c r="B290" s="20" t="str">
        <f>VLOOKUP($A290,'Case-Specific'!$A$13:$E$85,2,0)&amp;""</f>
        <v>Are you compliant with the Payment Card Industry Data Security Standard (PCI DSS)?</v>
      </c>
      <c r="C290" s="45" t="str">
        <f>VLOOKUP($A290,'Case-Specific'!$A$13:$E$85,3,0)&amp;""</f>
        <v/>
      </c>
      <c r="D290" s="34" t="str">
        <f>IF(LEFT(VLOOKUP($A290,'Case-Specific'!$A$13:$E$85,5,0),21)='Auto Responses'!$A$32,'Auto Responses'!$A$33,VLOOKUP($A290,'Case-Specific'!$A$13:$E$85,4,0))&amp;""</f>
        <v>This question does not apply.</v>
      </c>
      <c r="E290" s="330" t="str">
        <f>VLOOKUP($A290,'Case-Specific'!$A$13:$E$85,5,0)&amp;""</f>
        <v>Based on the response to REQU-06 on the "START HERE" tab, this question does not apply to this product or service.</v>
      </c>
      <c r="F290" s="195"/>
      <c r="G290" s="30" t="str">
        <f>VLOOKUP($A290,Questions!$A$2:$X$333,21,0)&amp;""</f>
        <v>Yes</v>
      </c>
      <c r="H290" s="185"/>
      <c r="I290" s="45" t="str">
        <f>VLOOKUP($A290,Questions!$A$2:$X$333,23,0)&amp;""</f>
        <v>Standard Importance</v>
      </c>
      <c r="J290" s="185"/>
      <c r="K290" s="48" t="b">
        <v>0</v>
      </c>
      <c r="L290" s="1"/>
    </row>
    <row r="291" spans="1:12" s="29" customFormat="1" ht="97.2" x14ac:dyDescent="0.25">
      <c r="A291" s="19" t="str">
        <f>'Case-Specific'!A68</f>
        <v>PCID-06</v>
      </c>
      <c r="B291" s="20" t="str">
        <f>VLOOKUP($A291,'Case-Specific'!$A$13:$E$85,2,0)&amp;""</f>
        <v>Are you classified as a service provider?</v>
      </c>
      <c r="C291" s="45" t="str">
        <f>VLOOKUP($A291,'Case-Specific'!$A$13:$E$85,3,0)&amp;""</f>
        <v/>
      </c>
      <c r="D291" s="34" t="str">
        <f>IF(LEFT(VLOOKUP($A291,'Case-Specific'!$A$13:$E$85,5,0),21)='Auto Responses'!$A$32,'Auto Responses'!$A$33,VLOOKUP($A291,'Case-Specific'!$A$13:$E$85,4,0))&amp;""</f>
        <v>This question does not apply.</v>
      </c>
      <c r="E291" s="330" t="str">
        <f>VLOOKUP($A291,'Case-Specific'!$A$13:$E$85,5,0)&amp;""</f>
        <v>Based on the response to REQU-06 on the "START HERE" tab, this question does not apply to this product or service.</v>
      </c>
      <c r="F291" s="195"/>
      <c r="G291" s="30" t="str">
        <f>VLOOKUP($A291,Questions!$A$2:$X$333,21,0)&amp;""</f>
        <v>Yes</v>
      </c>
      <c r="H291" s="185"/>
      <c r="I291" s="45" t="str">
        <f>VLOOKUP($A291,Questions!$A$2:$X$333,23,0)&amp;""</f>
        <v>Standard Importance</v>
      </c>
      <c r="J291" s="185"/>
      <c r="K291" s="48" t="b">
        <v>0</v>
      </c>
      <c r="L291" s="1"/>
    </row>
    <row r="292" spans="1:12" s="29" customFormat="1" ht="97.2" x14ac:dyDescent="0.25">
      <c r="A292" s="19" t="str">
        <f>'Case-Specific'!A69</f>
        <v>PCID-07</v>
      </c>
      <c r="B292" s="20" t="str">
        <f>VLOOKUP($A292,'Case-Specific'!$A$13:$E$85,2,0)&amp;""</f>
        <v>Are you on the list of Visa approved service providers?</v>
      </c>
      <c r="C292" s="45" t="str">
        <f>VLOOKUP($A292,'Case-Specific'!$A$13:$E$85,3,0)&amp;""</f>
        <v/>
      </c>
      <c r="D292" s="34" t="str">
        <f>IF(LEFT(VLOOKUP($A292,'Case-Specific'!$A$13:$E$85,5,0),21)='Auto Responses'!$A$32,'Auto Responses'!$A$33,VLOOKUP($A292,'Case-Specific'!$A$13:$E$85,4,0))&amp;""</f>
        <v>This question does not apply.</v>
      </c>
      <c r="E292" s="330" t="str">
        <f>VLOOKUP($A292,'Case-Specific'!$A$13:$E$85,5,0)&amp;""</f>
        <v>Based on the response to REQU-06 on the "START HERE" tab, this question does not apply to this product or service.</v>
      </c>
      <c r="F292" s="195"/>
      <c r="G292" s="30" t="str">
        <f>VLOOKUP($A292,Questions!$A$2:$X$333,21,0)&amp;""</f>
        <v>Yes</v>
      </c>
      <c r="H292" s="185"/>
      <c r="I292" s="45" t="str">
        <f>VLOOKUP($A292,Questions!$A$2:$X$333,23,0)&amp;""</f>
        <v>Standard Importance</v>
      </c>
      <c r="J292" s="185"/>
      <c r="K292" s="48" t="b">
        <v>0</v>
      </c>
      <c r="L292" s="1"/>
    </row>
    <row r="293" spans="1:12" s="29" customFormat="1" ht="97.2" x14ac:dyDescent="0.25">
      <c r="A293" s="19" t="str">
        <f>'Case-Specific'!A70</f>
        <v>PCID-08</v>
      </c>
      <c r="B293" s="20" t="str">
        <f>VLOOKUP($A293,'Case-Specific'!$A$13:$E$85,2,0)&amp;""</f>
        <v>Are you classified as a merchant? If so, what level (1, 2, 3, 4)?</v>
      </c>
      <c r="C293" s="45" t="str">
        <f>VLOOKUP($A293,'Case-Specific'!$A$13:$E$85,3,0)&amp;""</f>
        <v/>
      </c>
      <c r="D293" s="34" t="str">
        <f>IF(LEFT(VLOOKUP($A293,'Case-Specific'!$A$13:$E$85,5,0),21)='Auto Responses'!$A$32,'Auto Responses'!$A$33,VLOOKUP($A293,'Case-Specific'!$A$13:$E$85,4,0))&amp;""</f>
        <v>This question does not apply.</v>
      </c>
      <c r="E293" s="330" t="str">
        <f>VLOOKUP($A293,'Case-Specific'!$A$13:$E$85,5,0)&amp;""</f>
        <v>Based on the response to REQU-06 on the "START HERE" tab, this question does not apply to this product or service.</v>
      </c>
      <c r="F293" s="195"/>
      <c r="G293" s="30" t="str">
        <f>VLOOKUP($A293,Questions!$A$2:$X$333,21,0)&amp;""</f>
        <v>Yes</v>
      </c>
      <c r="H293" s="185"/>
      <c r="I293" s="45" t="str">
        <f>VLOOKUP($A293,Questions!$A$2:$X$333,23,0)&amp;""</f>
        <v>Standard Importance</v>
      </c>
      <c r="J293" s="185"/>
      <c r="K293" s="48" t="b">
        <v>0</v>
      </c>
      <c r="L293" s="1"/>
    </row>
    <row r="294" spans="1:12" s="29" customFormat="1" ht="97.2" x14ac:dyDescent="0.25">
      <c r="A294" s="19" t="str">
        <f>'Case-Specific'!A71</f>
        <v>PCID-09</v>
      </c>
      <c r="B294" s="20" t="str">
        <f>VLOOKUP($A294,'Case-Specific'!$A$13:$E$85,2,0)&amp;""</f>
        <v>Describe the architecture employed by the system to verify and authorize credit card transactions.</v>
      </c>
      <c r="C294" s="305" t="str">
        <f>VLOOKUP($A294,'Case-Specific'!$A$13:$E$85,3,0)&amp;""</f>
        <v/>
      </c>
      <c r="D294" s="304" t="str">
        <f>IF(LEFT(VLOOKUP($A294,'Case-Specific'!$A$13:$E$85,5,0),21)='Auto Responses'!$A$32,'Auto Responses'!$A$33,VLOOKUP($A294,'Case-Specific'!$A$13:$E$85,4,0))&amp;""</f>
        <v>This question does not apply.</v>
      </c>
      <c r="E294" s="330" t="str">
        <f>VLOOKUP($A294,'Case-Specific'!$A$13:$E$85,5,0)&amp;""</f>
        <v>Based on the response to REQU-06 on the "START HERE" tab, this question does not apply to this product or service.</v>
      </c>
      <c r="F294" s="195"/>
      <c r="G294" s="30" t="str">
        <f>VLOOKUP($A294,Questions!$A$2:$X$333,21,0)&amp;""</f>
        <v>Not scored</v>
      </c>
      <c r="H294" s="185"/>
      <c r="I294" s="45" t="str">
        <f>VLOOKUP($A294,Questions!$A$2:$X$333,23,0)&amp;""</f>
        <v/>
      </c>
      <c r="J294" s="185"/>
      <c r="K294" s="48" t="b">
        <v>0</v>
      </c>
      <c r="L294" s="1"/>
    </row>
    <row r="295" spans="1:12" s="29" customFormat="1" ht="97.2" x14ac:dyDescent="0.25">
      <c r="A295" s="19" t="str">
        <f>'Case-Specific'!A72</f>
        <v>PCID-10</v>
      </c>
      <c r="B295" s="20" t="str">
        <f>VLOOKUP($A295,'Case-Specific'!$A$13:$E$85,2,0)&amp;""</f>
        <v>What payment processors/gateways does the system support?</v>
      </c>
      <c r="C295" s="45" t="str">
        <f>VLOOKUP($A295,'Case-Specific'!$A$13:$E$85,3,0)&amp;""</f>
        <v/>
      </c>
      <c r="D295" s="34" t="str">
        <f>IF(LEFT(VLOOKUP($A295,'Case-Specific'!$A$13:$E$85,5,0),21)='Auto Responses'!$A$32,'Auto Responses'!$A$33,VLOOKUP($A295,'Case-Specific'!$A$13:$E$85,4,0))&amp;""</f>
        <v>This question does not apply.</v>
      </c>
      <c r="E295" s="330" t="str">
        <f>VLOOKUP($A295,'Case-Specific'!$A$13:$E$85,5,0)&amp;""</f>
        <v>Based on the response to REQU-06 on the "START HERE" tab, this question does not apply to this product or service.</v>
      </c>
      <c r="F295" s="195"/>
      <c r="G295" s="30" t="str">
        <f>VLOOKUP($A295,Questions!$A$2:$X$333,21,0)&amp;""</f>
        <v>Not scored</v>
      </c>
      <c r="H295" s="185"/>
      <c r="I295" s="45" t="str">
        <f>VLOOKUP($A295,Questions!$A$2:$X$333,23,0)&amp;""</f>
        <v/>
      </c>
      <c r="J295" s="185"/>
      <c r="K295" s="48" t="b">
        <v>0</v>
      </c>
      <c r="L295" s="1"/>
    </row>
    <row r="296" spans="1:12" s="29" customFormat="1" ht="97.2" x14ac:dyDescent="0.25">
      <c r="A296" s="19" t="str">
        <f>'Case-Specific'!A73</f>
        <v>PCID-11</v>
      </c>
      <c r="B296" s="20" t="str">
        <f>VLOOKUP($A296,'Case-Specific'!$A$13:$E$85,2,0)&amp;""</f>
        <v>Can the application be installed in a PCI DSS–compliant manner?</v>
      </c>
      <c r="C296" s="45" t="str">
        <f>VLOOKUP($A296,'Case-Specific'!$A$13:$E$85,3,0)&amp;""</f>
        <v/>
      </c>
      <c r="D296" s="34" t="str">
        <f>IF(LEFT(VLOOKUP($A296,'Case-Specific'!$A$13:$E$85,5,0),21)='Auto Responses'!$A$32,'Auto Responses'!$A$33,VLOOKUP($A296,'Case-Specific'!$A$13:$E$85,4,0))&amp;""</f>
        <v>This question does not apply.</v>
      </c>
      <c r="E296" s="330" t="str">
        <f>VLOOKUP($A296,'Case-Specific'!$A$13:$E$85,5,0)&amp;""</f>
        <v>Based on the response to REQU-06 on the "START HERE" tab, this question does not apply to this product or service.</v>
      </c>
      <c r="F296" s="195"/>
      <c r="G296" s="30" t="str">
        <f>VLOOKUP($A296,Questions!$A$2:$X$333,21,0)&amp;""</f>
        <v>Yes</v>
      </c>
      <c r="H296" s="185"/>
      <c r="I296" s="45" t="str">
        <f>VLOOKUP($A296,Questions!$A$2:$X$333,23,0)&amp;""</f>
        <v>Minor Importance</v>
      </c>
      <c r="J296" s="185"/>
      <c r="K296" s="48" t="b">
        <v>0</v>
      </c>
      <c r="L296" s="1"/>
    </row>
    <row r="297" spans="1:12" s="29" customFormat="1" ht="97.2" x14ac:dyDescent="0.25">
      <c r="A297" s="19" t="str">
        <f>'Case-Specific'!A74</f>
        <v>PCID-12</v>
      </c>
      <c r="B297" s="20" t="str">
        <f>VLOOKUP($A297,'Case-Specific'!$A$13:$E$85,2,0)&amp;""</f>
        <v>Include documentation describing the system's abilities to comply with the PCI DSS and any features or capabilities of the system that must be added or changed in order to operate in compliance with the standards.</v>
      </c>
      <c r="C297" s="305" t="str">
        <f>VLOOKUP($A297,'Case-Specific'!$A$13:$E$85,3,0)&amp;""</f>
        <v/>
      </c>
      <c r="D297" s="304" t="str">
        <f>IF(LEFT(VLOOKUP($A297,'Case-Specific'!$A$13:$E$85,5,0),21)='Auto Responses'!$A$32,'Auto Responses'!$A$33,VLOOKUP($A297,'Case-Specific'!$A$13:$E$85,4,0))&amp;""</f>
        <v>This question does not apply.</v>
      </c>
      <c r="E297" s="330" t="str">
        <f>VLOOKUP($A297,'Case-Specific'!$A$13:$E$85,5,0)&amp;""</f>
        <v>Based on the response to REQU-06 on the "START HERE" tab, this question does not apply to this product or service.</v>
      </c>
      <c r="F297" s="195"/>
      <c r="G297" s="30" t="str">
        <f>VLOOKUP($A297,Questions!$A$2:$X$333,21,0)&amp;""</f>
        <v>Not scored</v>
      </c>
      <c r="H297" s="185"/>
      <c r="I297" s="45" t="str">
        <f>VLOOKUP($A297,Questions!$A$2:$X$333,23,0)&amp;""</f>
        <v/>
      </c>
      <c r="J297" s="185"/>
      <c r="K297" s="48" t="b">
        <v>0</v>
      </c>
      <c r="L297" s="1"/>
    </row>
    <row r="298" spans="1:12" s="1" customFormat="1" ht="17.399999999999999" x14ac:dyDescent="0.25">
      <c r="A298" s="63" t="str">
        <f>VLOOKUP(LEFT($A299,4),'Auto Responses'!$N$4:$O$38,2,0)&amp;""</f>
        <v xml:space="preserve"> On-Premises Data Solutions</v>
      </c>
      <c r="B298" s="22"/>
      <c r="C298" s="31"/>
      <c r="D298" s="31"/>
      <c r="E298" s="331"/>
      <c r="F298" s="131" t="s">
        <v>1030</v>
      </c>
      <c r="G298" s="335" t="s">
        <v>869</v>
      </c>
      <c r="H298" s="335" t="s">
        <v>871</v>
      </c>
      <c r="I298" s="335" t="s">
        <v>19</v>
      </c>
      <c r="J298" s="335" t="s">
        <v>856</v>
      </c>
      <c r="K298" s="335" t="s">
        <v>867</v>
      </c>
    </row>
    <row r="299" spans="1:12" s="29" customFormat="1" ht="97.2" x14ac:dyDescent="0.25">
      <c r="A299" s="19" t="str">
        <f>'Case-Specific'!A76</f>
        <v>OPEM-01</v>
      </c>
      <c r="B299" s="20" t="str">
        <f>VLOOKUP($A299,'Case-Specific'!$A$13:$E$85,2,0)&amp;""</f>
        <v>Do you support role-based access control (RBAC) for system administrators?</v>
      </c>
      <c r="C299" s="45" t="str">
        <f>VLOOKUP($A299,'Case-Specific'!$A$13:$E$85,3,0)&amp;""</f>
        <v/>
      </c>
      <c r="D299" s="34" t="str">
        <f>IF(LEFT(VLOOKUP($A299,'Case-Specific'!$A$13:$E$85,5,0),21)='Auto Responses'!$A$32,'Auto Responses'!$A$33,VLOOKUP($A299,'Case-Specific'!$A$13:$E$85,4,0))&amp;""</f>
        <v>This question does not apply.</v>
      </c>
      <c r="E299" s="330" t="str">
        <f>VLOOKUP($A299,'Case-Specific'!$A$13:$E$85,5,0)&amp;""</f>
        <v>Based on the response to REQU-07 on the "START HERE" tab, this question does not apply to this product or service.</v>
      </c>
      <c r="F299" s="195"/>
      <c r="G299" s="30" t="str">
        <f>VLOOKUP($A299,Questions!$A$2:$X$333,21,0)&amp;""</f>
        <v>Yes</v>
      </c>
      <c r="H299" s="185"/>
      <c r="I299" s="45" t="str">
        <f>VLOOKUP($A299,Questions!$A$2:$X$333,23,0)&amp;""</f>
        <v>Standard Importance</v>
      </c>
      <c r="J299" s="185"/>
      <c r="K299" s="48" t="b">
        <v>0</v>
      </c>
      <c r="L299" s="1"/>
    </row>
    <row r="300" spans="1:12" s="29" customFormat="1" ht="97.2" x14ac:dyDescent="0.25">
      <c r="A300" s="19" t="str">
        <f>'Case-Specific'!A77</f>
        <v>OPEM-02</v>
      </c>
      <c r="B300" s="20" t="str">
        <f>VLOOKUP($A300,'Case-Specific'!$A$13:$E$85,2,0)&amp;""</f>
        <v>Can your employees access customer systems remotely?</v>
      </c>
      <c r="C300" s="45" t="str">
        <f>VLOOKUP($A300,'Case-Specific'!$A$13:$E$85,3,0)&amp;""</f>
        <v/>
      </c>
      <c r="D300" s="34" t="str">
        <f>IF(LEFT(VLOOKUP($A300,'Case-Specific'!$A$13:$E$85,5,0),21)='Auto Responses'!$A$32,'Auto Responses'!$A$33,VLOOKUP($A300,'Case-Specific'!$A$13:$E$85,4,0))&amp;""</f>
        <v>This question does not apply.</v>
      </c>
      <c r="E300" s="330" t="str">
        <f>VLOOKUP($A300,'Case-Specific'!$A$13:$E$85,5,0)&amp;""</f>
        <v>Based on the response to REQU-07 on the "START HERE" tab, this question does not apply to this product or service.</v>
      </c>
      <c r="F300" s="195"/>
      <c r="G300" s="30" t="str">
        <f>VLOOKUP($A300,Questions!$A$2:$X$333,21,0)&amp;""</f>
        <v>No</v>
      </c>
      <c r="H300" s="185"/>
      <c r="I300" s="45" t="str">
        <f>VLOOKUP($A300,Questions!$A$2:$X$333,23,0)&amp;""</f>
        <v>Standard Importance</v>
      </c>
      <c r="J300" s="185"/>
      <c r="K300" s="48" t="b">
        <v>0</v>
      </c>
      <c r="L300" s="1"/>
    </row>
    <row r="301" spans="1:12" s="29" customFormat="1" ht="97.2" x14ac:dyDescent="0.25">
      <c r="A301" s="19" t="str">
        <f>'Case-Specific'!A78</f>
        <v>OPEM-03</v>
      </c>
      <c r="B301" s="20" t="str">
        <f>VLOOKUP($A301,'Case-Specific'!$A$13:$E$85,2,0)&amp;""</f>
        <v>Can you provide overall system and/or application architecture diagrams including a full description of the data communications architecture for all components of the system?</v>
      </c>
      <c r="C301" s="45" t="str">
        <f>VLOOKUP($A301,'Case-Specific'!$A$13:$E$85,3,0)&amp;""</f>
        <v/>
      </c>
      <c r="D301" s="34" t="str">
        <f>IF(LEFT(VLOOKUP($A301,'Case-Specific'!$A$13:$E$85,5,0),21)='Auto Responses'!$A$32,'Auto Responses'!$A$33,VLOOKUP($A301,'Case-Specific'!$A$13:$E$85,4,0))&amp;""</f>
        <v>This question does not apply.</v>
      </c>
      <c r="E301" s="330" t="str">
        <f>VLOOKUP($A301,'Case-Specific'!$A$13:$E$85,5,0)&amp;""</f>
        <v>Based on the response to REQU-07 on the "START HERE" tab, this question does not apply to this product or service.</v>
      </c>
      <c r="F301" s="195"/>
      <c r="G301" s="30" t="str">
        <f>VLOOKUP($A301,Questions!$A$2:$X$333,21,0)&amp;""</f>
        <v>Yes</v>
      </c>
      <c r="H301" s="185"/>
      <c r="I301" s="45" t="str">
        <f>VLOOKUP($A301,Questions!$A$2:$X$333,23,0)&amp;""</f>
        <v>Standard Importance</v>
      </c>
      <c r="J301" s="185"/>
      <c r="K301" s="48" t="b">
        <v>0</v>
      </c>
      <c r="L301" s="1"/>
    </row>
    <row r="302" spans="1:12" s="29" customFormat="1" ht="97.2" x14ac:dyDescent="0.25">
      <c r="A302" s="19" t="str">
        <f>'Case-Specific'!A79</f>
        <v>OPEM-04</v>
      </c>
      <c r="B302" s="20" t="str">
        <f>VLOOKUP($A302,'Case-Specific'!$A$13:$E$85,2,0)&amp;""</f>
        <v>Do you require remote management of the system?</v>
      </c>
      <c r="C302" s="45" t="str">
        <f>VLOOKUP($A302,'Case-Specific'!$A$13:$E$85,3,0)&amp;""</f>
        <v/>
      </c>
      <c r="D302" s="34" t="str">
        <f>IF(LEFT(VLOOKUP($A302,'Case-Specific'!$A$13:$E$85,5,0),21)='Auto Responses'!$A$32,'Auto Responses'!$A$33,VLOOKUP($A302,'Case-Specific'!$A$13:$E$85,4,0))&amp;""</f>
        <v>This question does not apply.</v>
      </c>
      <c r="E302" s="330" t="str">
        <f>VLOOKUP($A302,'Case-Specific'!$A$13:$E$85,5,0)&amp;""</f>
        <v>Based on the response to REQU-07 on the "START HERE" tab, this question does not apply to this product or service.</v>
      </c>
      <c r="F302" s="195"/>
      <c r="G302" s="30" t="str">
        <f>VLOOKUP($A302,Questions!$A$2:$X$333,21,0)&amp;""</f>
        <v>No</v>
      </c>
      <c r="H302" s="185"/>
      <c r="I302" s="45" t="str">
        <f>VLOOKUP($A302,Questions!$A$2:$X$333,23,0)&amp;""</f>
        <v>Standard Importance</v>
      </c>
      <c r="J302" s="185"/>
      <c r="K302" s="48" t="b">
        <v>0</v>
      </c>
      <c r="L302" s="1"/>
    </row>
    <row r="303" spans="1:12" s="29" customFormat="1" ht="97.2" x14ac:dyDescent="0.25">
      <c r="A303" s="19" t="str">
        <f>'Case-Specific'!A80</f>
        <v>OPEM-05</v>
      </c>
      <c r="B303" s="20" t="str">
        <f>VLOOKUP($A303,'Case-Specific'!$A$13:$E$85,2,0)&amp;""</f>
        <v>If you answered "yes" to OPEM-04, are your remote actions and changes logged or otherwise visible to the campus?</v>
      </c>
      <c r="C303" s="45" t="str">
        <f>VLOOKUP($A303,'Case-Specific'!$A$13:$E$85,3,0)&amp;""</f>
        <v/>
      </c>
      <c r="D303" s="34" t="str">
        <f>IF(LEFT(VLOOKUP($A303,'Case-Specific'!$A$13:$E$85,5,0),21)='Auto Responses'!$A$32,'Auto Responses'!$A$33,VLOOKUP($A303,'Case-Specific'!$A$13:$E$85,4,0))&amp;""</f>
        <v>This question does not apply.</v>
      </c>
      <c r="E303" s="330" t="str">
        <f>VLOOKUP($A303,'Case-Specific'!$A$13:$E$85,5,0)&amp;""</f>
        <v>Based on the response to REQU-07 on the "START HERE" tab, this question does not apply to this product or service.</v>
      </c>
      <c r="F303" s="195"/>
      <c r="G303" s="30" t="str">
        <f>VLOOKUP($A303,Questions!$A$2:$X$333,21,0)&amp;""</f>
        <v>Yes</v>
      </c>
      <c r="H303" s="185"/>
      <c r="I303" s="45" t="str">
        <f>VLOOKUP($A303,Questions!$A$2:$X$333,23,0)&amp;""</f>
        <v>Standard Importance</v>
      </c>
      <c r="J303" s="185"/>
      <c r="K303" s="48" t="b">
        <v>0</v>
      </c>
      <c r="L303" s="1"/>
    </row>
    <row r="304" spans="1:12" s="29" customFormat="1" ht="97.2" x14ac:dyDescent="0.25">
      <c r="A304" s="19" t="str">
        <f>'Case-Specific'!A81</f>
        <v>OPEM-06</v>
      </c>
      <c r="B304" s="20" t="str">
        <f>VLOOKUP($A304,'Case-Specific'!$A$13:$E$85,2,0)&amp;""</f>
        <v>If you maintain remote access to the system, will you handle data in a FERPA-compliant manner?</v>
      </c>
      <c r="C304" s="45" t="str">
        <f>VLOOKUP($A304,'Case-Specific'!$A$13:$E$85,3,0)&amp;""</f>
        <v/>
      </c>
      <c r="D304" s="34" t="str">
        <f>IF(LEFT(VLOOKUP($A304,'Case-Specific'!$A$13:$E$85,5,0),21)='Auto Responses'!$A$32,'Auto Responses'!$A$33,VLOOKUP($A304,'Case-Specific'!$A$13:$E$85,4,0))&amp;""</f>
        <v>This question does not apply.</v>
      </c>
      <c r="E304" s="330" t="str">
        <f>VLOOKUP($A304,'Case-Specific'!$A$13:$E$85,5,0)&amp;""</f>
        <v>Based on the response to REQU-07 on the "START HERE" tab, this question does not apply to this product or service.</v>
      </c>
      <c r="F304" s="195"/>
      <c r="G304" s="30" t="str">
        <f>VLOOKUP($A304,Questions!$A$2:$X$333,21,0)&amp;""</f>
        <v>Yes</v>
      </c>
      <c r="H304" s="185"/>
      <c r="I304" s="45" t="str">
        <f>VLOOKUP($A304,Questions!$A$2:$X$333,23,0)&amp;""</f>
        <v>Standard Importance</v>
      </c>
      <c r="J304" s="185"/>
      <c r="K304" s="48" t="b">
        <v>0</v>
      </c>
      <c r="L304" s="1"/>
    </row>
    <row r="305" spans="1:12" s="29" customFormat="1" ht="97.2" x14ac:dyDescent="0.25">
      <c r="A305" s="19" t="str">
        <f>'Case-Specific'!A82</f>
        <v>OPEM-07</v>
      </c>
      <c r="B305" s="20" t="str">
        <f>VLOOKUP($A305,'Case-Specific'!$A$13:$E$85,2,0)&amp;""</f>
        <v>Do you support campus status monitoring through SNMPv3 or other means?</v>
      </c>
      <c r="C305" s="45" t="str">
        <f>VLOOKUP($A305,'Case-Specific'!$A$13:$E$85,3,0)&amp;""</f>
        <v/>
      </c>
      <c r="D305" s="34" t="str">
        <f>IF(LEFT(VLOOKUP($A305,'Case-Specific'!$A$13:$E$85,5,0),21)='Auto Responses'!$A$32,'Auto Responses'!$A$33,VLOOKUP($A305,'Case-Specific'!$A$13:$E$85,4,0))&amp;""</f>
        <v>This question does not apply.</v>
      </c>
      <c r="E305" s="332" t="str">
        <f>VLOOKUP($A305,'Case-Specific'!$A$13:$E$85,5,0)&amp;""</f>
        <v>Based on the response to REQU-07 on the "START HERE" tab, this question does not apply to this product or service.</v>
      </c>
      <c r="F305" s="195"/>
      <c r="G305" s="30" t="str">
        <f>VLOOKUP($A305,Questions!$A$2:$X$333,21,0)&amp;""</f>
        <v>Yes</v>
      </c>
      <c r="H305" s="185"/>
      <c r="I305" s="45" t="str">
        <f>VLOOKUP($A305,Questions!$A$2:$X$333,23,0)&amp;""</f>
        <v>Standard Importance</v>
      </c>
      <c r="J305" s="185"/>
      <c r="K305" s="48" t="b">
        <v>0</v>
      </c>
      <c r="L305" s="1"/>
    </row>
    <row r="306" spans="1:12" s="29" customFormat="1" ht="97.2" x14ac:dyDescent="0.25">
      <c r="A306" s="19" t="str">
        <f>'Case-Specific'!A83</f>
        <v>OPEM-08</v>
      </c>
      <c r="B306" s="20" t="str">
        <f>VLOOKUP($A306,'Case-Specific'!$A$13:$E$85,2,0)&amp;""</f>
        <v>Describe or provide a reference to any other safeguards used to monitor for malicious activity.</v>
      </c>
      <c r="C306" s="305" t="str">
        <f>VLOOKUP($A306,'Case-Specific'!$A$13:$E$85,3,0)&amp;""</f>
        <v/>
      </c>
      <c r="D306" s="306" t="str">
        <f>IF(LEFT(VLOOKUP($A306,'Case-Specific'!$A$13:$E$85,5,0),21)='Auto Responses'!$A$32,'Auto Responses'!$A$33,VLOOKUP($A306,'Case-Specific'!$A$13:$E$85,4,0))&amp;""</f>
        <v>This question does not apply.</v>
      </c>
      <c r="E306" s="332" t="str">
        <f>VLOOKUP($A306,'Case-Specific'!$A$13:$E$85,5,0)&amp;""</f>
        <v>Based on the response to REQU-07 on the "START HERE" tab, this question does not apply to this product or service.</v>
      </c>
      <c r="F306" s="195"/>
      <c r="G306" s="30" t="str">
        <f>VLOOKUP($A306,Questions!$A$2:$X$333,21,0)&amp;""</f>
        <v>Not scored</v>
      </c>
      <c r="H306" s="185"/>
      <c r="I306" s="45" t="str">
        <f>VLOOKUP($A306,Questions!$A$2:$X$333,23,0)&amp;""</f>
        <v/>
      </c>
      <c r="J306" s="185"/>
      <c r="K306" s="48" t="b">
        <v>0</v>
      </c>
      <c r="L306" s="1"/>
    </row>
    <row r="307" spans="1:12" s="29" customFormat="1" ht="97.2" x14ac:dyDescent="0.25">
      <c r="A307" s="19" t="str">
        <f>'Case-Specific'!A84</f>
        <v>OPEM-09</v>
      </c>
      <c r="B307" s="20" t="str">
        <f>VLOOKUP($A307,'Case-Specific'!$A$13:$E$85,2,0)&amp;""</f>
        <v>Describe how long your organization has conducted business in this area.</v>
      </c>
      <c r="C307" s="305" t="str">
        <f>VLOOKUP($A307,'Case-Specific'!$A$13:$E$85,3,0)&amp;""</f>
        <v/>
      </c>
      <c r="D307" s="306" t="str">
        <f>IF(LEFT(VLOOKUP($A307,'Case-Specific'!$A$13:$E$85,5,0),21)='Auto Responses'!$A$32,'Auto Responses'!$A$33,VLOOKUP($A307,'Case-Specific'!$A$13:$E$85,4,0))&amp;""</f>
        <v>This question does not apply.</v>
      </c>
      <c r="E307" s="332" t="str">
        <f>VLOOKUP($A307,'Case-Specific'!$A$13:$E$85,5,0)&amp;""</f>
        <v>Based on the response to REQU-07 on the "START HERE" tab, this question does not apply to this product or service.</v>
      </c>
      <c r="F307" s="195"/>
      <c r="G307" s="30" t="str">
        <f>VLOOKUP($A307,Questions!$A$2:$X$333,21,0)&amp;""</f>
        <v>Not scored</v>
      </c>
      <c r="H307" s="185"/>
      <c r="I307" s="45" t="str">
        <f>VLOOKUP($A307,Questions!$A$2:$X$333,23,0)&amp;""</f>
        <v/>
      </c>
      <c r="J307" s="185"/>
      <c r="K307" s="48" t="b">
        <v>0</v>
      </c>
      <c r="L307" s="1"/>
    </row>
    <row r="308" spans="1:12" s="29" customFormat="1" ht="97.8" thickBot="1" x14ac:dyDescent="0.3">
      <c r="A308" s="19" t="str">
        <f>'Case-Specific'!A85</f>
        <v>OPEM-10</v>
      </c>
      <c r="B308" s="20" t="str">
        <f>VLOOKUP($A308,'Case-Specific'!$A$13:$E$85,2,0)&amp;""</f>
        <v>Do you have existing higher education customers?</v>
      </c>
      <c r="C308" s="45" t="str">
        <f>VLOOKUP($A308,'Case-Specific'!$A$13:$E$85,3,0)&amp;""</f>
        <v/>
      </c>
      <c r="D308" s="34" t="str">
        <f>IF(LEFT(VLOOKUP($A308,'Case-Specific'!$A$13:$E$85,5,0),21)='Auto Responses'!$A$32,'Auto Responses'!$A$33,VLOOKUP($A308,'Case-Specific'!$A$13:$E$85,4,0))&amp;""</f>
        <v>This question does not apply.</v>
      </c>
      <c r="E308" s="332" t="str">
        <f>VLOOKUP($A308,'Case-Specific'!$A$13:$E$85,5,0)&amp;""</f>
        <v>Based on the response to REQU-07 on the "START HERE" tab, this question does not apply to this product or service.</v>
      </c>
      <c r="F308" s="195"/>
      <c r="G308" s="30" t="str">
        <f>VLOOKUP($A308,Questions!$A$2:$X$333,21,0)&amp;""</f>
        <v>Yes</v>
      </c>
      <c r="H308" s="185"/>
      <c r="I308" s="45" t="str">
        <f>VLOOKUP($A308,Questions!$A$2:$X$333,23,0)&amp;""</f>
        <v>Minor Importance</v>
      </c>
      <c r="J308" s="185"/>
      <c r="K308" s="49" t="b">
        <v>0</v>
      </c>
      <c r="L308" s="1"/>
    </row>
    <row r="309" spans="1:12" s="1" customFormat="1" ht="17.399999999999999" x14ac:dyDescent="0.25">
      <c r="A309" s="63" t="str">
        <f>VLOOKUP(LEFT($A310,4),'Auto Responses'!$N$4:$O$38,2,0)&amp;""</f>
        <v xml:space="preserve"> AI Qualifying Questions</v>
      </c>
      <c r="B309" s="22"/>
      <c r="C309" s="31"/>
      <c r="D309" s="31"/>
      <c r="E309" s="331"/>
      <c r="F309" s="131" t="s">
        <v>1030</v>
      </c>
      <c r="G309" s="335" t="s">
        <v>869</v>
      </c>
      <c r="H309" s="335" t="s">
        <v>871</v>
      </c>
      <c r="I309" s="335" t="s">
        <v>19</v>
      </c>
      <c r="J309" s="335" t="s">
        <v>856</v>
      </c>
      <c r="K309" s="335" t="s">
        <v>867</v>
      </c>
    </row>
    <row r="310" spans="1:12" s="29" customFormat="1" ht="129.6" x14ac:dyDescent="0.25">
      <c r="A310" s="19" t="str">
        <f>AI!$A$20</f>
        <v>AIQU-01</v>
      </c>
      <c r="B310" s="20" t="str">
        <f>VLOOKUP($A310,AI!$A$13:$E$55,2,0)&amp;""</f>
        <v>Does your solution leverage machine learning (ML) or do you plan to do so in the next 12 months?</v>
      </c>
      <c r="C310" s="45" t="str">
        <f>VLOOKUP($A310,AI!$A$13:$E$55,3,0)&amp;""</f>
        <v>Yes</v>
      </c>
      <c r="D310" s="34" t="str">
        <f>IF(LEFT(VLOOKUP($A310,AI!$A$13:$E$55,5,0),21)='Auto Responses'!$A$32,'Auto Responses'!$A$33,VLOOKUP($A310,AI!$A$13:$E$55,4,0))&amp;""</f>
        <v>Two production ML models: Keyread (typing-biometric authorship classifier) and Copy-behavior (originality / typed-vs-pasted content classifier).</v>
      </c>
      <c r="E310" s="330" t="str">
        <f>VLOOKUP($A310,AI!$A$13:$E$55,5,0)&amp;""</f>
        <v>DO complete the Machine Learning section (AIML)</v>
      </c>
      <c r="F310" s="195"/>
      <c r="G310" s="30" t="str">
        <f>VLOOKUP($A310,Questions!$A$2:$X$333,21,0)&amp;""</f>
        <v>Not scored</v>
      </c>
      <c r="H310" s="185"/>
      <c r="I310" s="45" t="str">
        <f>VLOOKUP($A310,Questions!$A$2:$X$333,23,0)&amp;""</f>
        <v/>
      </c>
      <c r="J310" s="185"/>
      <c r="K310" s="48" t="b">
        <v>0</v>
      </c>
      <c r="L310" s="1"/>
    </row>
    <row r="311" spans="1:12" s="29" customFormat="1" ht="48.6" x14ac:dyDescent="0.25">
      <c r="A311" s="19" t="str">
        <f>AI!$A$21</f>
        <v>AIQU-02</v>
      </c>
      <c r="B311" s="20" t="str">
        <f>VLOOKUP($A311,AI!$A$13:$E$55,2,0)&amp;""</f>
        <v>Does your solution leverage a large language model (LLM) or do you plan to do so in the next 12 months?</v>
      </c>
      <c r="C311" s="45" t="str">
        <f>VLOOKUP($A311,AI!$A$13:$E$55,3,0)&amp;""</f>
        <v>No</v>
      </c>
      <c r="D311" s="34" t="str">
        <f>IF(LEFT(VLOOKUP($A311,AI!$A$13:$E$55,5,0),21)='Auto Responses'!$A$32,'Auto Responses'!$A$33,VLOOKUP($A311,AI!$A$13:$E$55,4,0))&amp;""</f>
        <v/>
      </c>
      <c r="E311" s="330" t="str">
        <f>VLOOKUP($A311,AI!$A$13:$E$55,5,0)&amp;""</f>
        <v>DO NOT complete the Large Language Model section (AILM)</v>
      </c>
      <c r="F311" s="195"/>
      <c r="G311" s="30" t="str">
        <f>VLOOKUP($A311,Questions!$A$2:$X$333,21,0)&amp;""</f>
        <v>Not scored</v>
      </c>
      <c r="H311" s="185"/>
      <c r="I311" s="45" t="str">
        <f>VLOOKUP($A311,Questions!$A$2:$X$333,23,0)&amp;""</f>
        <v/>
      </c>
      <c r="J311" s="185"/>
      <c r="K311" s="48" t="b">
        <v>0</v>
      </c>
      <c r="L311" s="1"/>
    </row>
    <row r="312" spans="1:12" s="1" customFormat="1" ht="17.399999999999999" x14ac:dyDescent="0.25">
      <c r="A312" s="63" t="str">
        <f>VLOOKUP(LEFT($A313,4),'Auto Responses'!$N$4:$O$38,2,0)&amp;""</f>
        <v xml:space="preserve"> General AI Questions</v>
      </c>
      <c r="B312" s="22"/>
      <c r="C312" s="31"/>
      <c r="D312" s="31"/>
      <c r="E312" s="331"/>
      <c r="F312" s="131" t="s">
        <v>1030</v>
      </c>
      <c r="G312" s="335" t="s">
        <v>869</v>
      </c>
      <c r="H312" s="335" t="s">
        <v>871</v>
      </c>
      <c r="I312" s="335" t="s">
        <v>19</v>
      </c>
      <c r="J312" s="335" t="s">
        <v>856</v>
      </c>
      <c r="K312" s="335" t="s">
        <v>867</v>
      </c>
    </row>
    <row r="313" spans="1:12" s="29" customFormat="1" ht="409.6" x14ac:dyDescent="0.25">
      <c r="A313" s="19" t="str">
        <f>AI!$A$23</f>
        <v>AIGN-01</v>
      </c>
      <c r="B313" s="20" t="str">
        <f>VLOOKUP($A313,AI!$A$13:$E$55,2,0)&amp;""</f>
        <v>Does your solution have an AI risk model when developing or implementing your solution's AI model?*</v>
      </c>
      <c r="C313" s="45" t="str">
        <f>VLOOKUP($A313,AI!$A$13:$E$55,3,0)&amp;""</f>
        <v>No</v>
      </c>
      <c r="D313" s="34" t="str">
        <f>IF(LEFT(VLOOKUP($A313,AI!$A$13:$E$55,5,0),21)='Auto Responses'!$A$32,'Auto Responses'!$A$33,VLOOKUP($A313,AI!$A$13:$E$55,4,0))&amp;""</f>
        <v>Cursive does not yet maintain a formal documented AI risk model for the development and implementation of the Keyread and Copy-behavior models. Risk considerations are embedded in the SDLC and Security Impact Analysis processes, and the constrained classifier architecture (proprietary models with bounded input/output, no third-party LLM, no generative AI) materially limits the AI risk surface relative to LLM-based services. A formal AI risk model aligned with the NIST AI RMF (AI 600-1) is on the AI governance roadmap alongside the AI Governance Policy and Model Registry work scoped for completion in 2026.</v>
      </c>
      <c r="E313" s="330" t="str">
        <f>VLOOKUP($A313,AI!$A$13:$E$55,5,0)&amp;""</f>
        <v>Describe your current AI risk management strategy. Provide a timeline for implementation of an AI risk framework, model, or methodology.</v>
      </c>
      <c r="F313" s="195"/>
      <c r="G313" s="30" t="str">
        <f>VLOOKUP($A313,Questions!$A$2:$X$333,21,0)&amp;""</f>
        <v>Yes</v>
      </c>
      <c r="H313" s="185"/>
      <c r="I313" s="45" t="str">
        <f>VLOOKUP($A313,Questions!$A$2:$X$333,23,0)&amp;""</f>
        <v>Critical Importance</v>
      </c>
      <c r="J313" s="185"/>
      <c r="K313" s="48" t="b">
        <v>0</v>
      </c>
      <c r="L313" s="1"/>
    </row>
    <row r="314" spans="1:12" s="29" customFormat="1" ht="409.6" x14ac:dyDescent="0.25">
      <c r="A314" s="19" t="str">
        <f>AI!$A$24</f>
        <v>AIGN-02</v>
      </c>
      <c r="B314" s="20" t="str">
        <f>VLOOKUP($A314,AI!$A$13:$E$55,2,0)&amp;""</f>
        <v>Can your solution's AI features be disabled by tenant and/or user?*</v>
      </c>
      <c r="C314" s="45" t="str">
        <f>VLOOKUP($A314,AI!$A$13:$E$55,3,0)&amp;""</f>
        <v>No</v>
      </c>
      <c r="D314" s="34" t="str">
        <f>IF(LEFT(VLOOKUP($A314,AI!$A$13:$E$55,5,0),21)='Auto Responses'!$A$32,'Auto Responses'!$A$33,VLOOKUP($A314,AI!$A$13:$E$55,4,0))&amp;""</f>
        <v xml:space="preserve">Partial - AI features can be disabled at the tenant level — institutions can disable TypeID at the LMS plugin level (Moodle) or remove the LTI integration, which fully disables AI processing for that tenant. Granular per-user opt-out at the AI-feature level is constrained by the architecture: AI-based authorship verification is intrinsic to TypeID (the service is fundamentally AI-driven), so user-level disabling of AI is functionally equivalent to user-level disabling of the service. Where institutions elect to provide individual student opt-out, that is implemented by the institution removing the affected user from TypeID enrollment within the LMS (consistent with DPAI-08). Institutions are welcome to use our AI/ML-free versions. </v>
      </c>
      <c r="E314" s="330" t="str">
        <f>VLOOKUP($A314,AI!$A$13:$E$55,5,0)&amp;""</f>
        <v>Provide alternate workflows to disable AI features. Describe plans to include control of AI features.</v>
      </c>
      <c r="F314" s="195"/>
      <c r="G314" s="30" t="str">
        <f>VLOOKUP($A314,Questions!$A$2:$X$333,21,0)&amp;""</f>
        <v>Yes</v>
      </c>
      <c r="H314" s="185"/>
      <c r="I314" s="45" t="str">
        <f>VLOOKUP($A314,Questions!$A$2:$X$333,23,0)&amp;""</f>
        <v>Critical Importance</v>
      </c>
      <c r="J314" s="185"/>
      <c r="K314" s="48" t="b">
        <v>0</v>
      </c>
      <c r="L314" s="1"/>
    </row>
    <row r="315" spans="1:12" s="29" customFormat="1" ht="409.6" x14ac:dyDescent="0.25">
      <c r="A315" s="19" t="str">
        <f>AI!$A$25</f>
        <v>AIGN-03</v>
      </c>
      <c r="B315" s="20" t="str">
        <f>VLOOKUP($A315,AI!$A$13:$E$55,2,0)&amp;""</f>
        <v>Have your staff completed responsible AI training?*</v>
      </c>
      <c r="C315" s="45" t="str">
        <f>VLOOKUP($A315,AI!$A$13:$E$55,3,0)&amp;""</f>
        <v>No</v>
      </c>
      <c r="D315" s="34" t="str">
        <f>IF(LEFT(VLOOKUP($A315,AI!$A$13:$E$55,5,0),21)='Auto Responses'!$A$32,'Auto Responses'!$A$33,VLOOKUP($A315,AI!$A$13:$E$55,4,0))&amp;""</f>
        <v xml:space="preserve">Staff have not yet completed a standalone "responsible AI" training program. AI ethics, bias considerations, the human-in-the-loop principle for authorship determinations, and data minimization in training datasets are discussed during model and feature design and are embedded in the broader privacy/security awareness training (FERPA 201 + KnowBe4). A standalone responsible AI training module is on the AI governance roadmap; given current company size, a fractional or external responsible AI training program is being evaluated.
</v>
      </c>
      <c r="E315" s="330" t="str">
        <f>VLOOKUP($A315,AI!$A$13:$E$55,5,0)&amp;""</f>
        <v>Explain what alternative responsible AI awareness activities are in place, including whether future training is planned.</v>
      </c>
      <c r="F315" s="195"/>
      <c r="G315" s="30" t="str">
        <f>VLOOKUP($A315,Questions!$A$2:$X$333,21,0)&amp;""</f>
        <v>Yes</v>
      </c>
      <c r="H315" s="185"/>
      <c r="I315" s="45" t="str">
        <f>VLOOKUP($A315,Questions!$A$2:$X$333,23,0)&amp;""</f>
        <v>Critical Importance</v>
      </c>
      <c r="J315" s="185"/>
      <c r="K315" s="48" t="b">
        <v>0</v>
      </c>
      <c r="L315" s="1"/>
    </row>
    <row r="316" spans="1:12" s="29" customFormat="1" ht="409.6" x14ac:dyDescent="0.25">
      <c r="A316" s="19" t="str">
        <f>AI!$A$26</f>
        <v>AIGN-04</v>
      </c>
      <c r="B316" s="20" t="str">
        <f>VLOOKUP($A316,AI!$A$13:$E$55,2,0)&amp;""</f>
        <v>Please describe the capabilities of your solution's AI features.</v>
      </c>
      <c r="C316" s="305" t="str">
        <f>VLOOKUP($A316,AI!$A$13:$E$55,3,0)&amp;""</f>
        <v>Cursive's AI features are classifiers not generative AI. The two production models verify identity and originality of student writing through typing-biometric and behavioral analysis:
Keyread (typing-biometric authorship classifier): Continuously verifies that the writer of a piece of text matches their established typing-biometric profile. Outputs a binary determination of "Verified" (typing pattern matches the established author profile) or "Verifying" (insufficient information to confirm additional session data or future session data is required to reclassify). The threshold can be customized within an LMS deployment. 
Copy-behavior (originality classifier): Distinguishes authentic composition from adversarial behaviors specifically, the most common being the "retype-from-LLM-output" pattern, where a user generates text via a generative AI tool (ChatGPT, Claude, etc.) and retypes it into the writing canvas to evade detection by tools that examine only final text. Outputs surface non-typed (pasted) content and adversarial typing-behavior signatures for instructor review.
All AI determinations are presented to a human (the instructor). No grading, disciplinary action, or end-user-facing consequence is applied on the basis of model output. Both models are proprietary and trained by Cursive on Cursive-owned datasets; no third-party LLM, foundation model, or commercial AI service is used in production.</v>
      </c>
      <c r="D316" s="306" t="str">
        <f>IF(LEFT(VLOOKUP($A316,AI!$A$13:$E$55,5,0),21)='Auto Responses'!$A$32,'Auto Responses'!$A$33,VLOOKUP($A316,AI!$A$13:$E$55,4,0))&amp;""</f>
        <v/>
      </c>
      <c r="E316" s="330" t="str">
        <f>VLOOKUP($A316,AI!$A$13:$E$55,5,0)&amp;""</f>
        <v>Describe capabilities such as content (text, image, audio, speech, video, or code) generation, visual interpretation, and predictive analytics. This encompasses all AI implementations, including third-party AI features. Clarify use cases or limits of the model.</v>
      </c>
      <c r="F316" s="195"/>
      <c r="G316" s="30" t="str">
        <f>VLOOKUP($A316,Questions!$A$2:$X$333,21,0)&amp;""</f>
        <v>Not scored</v>
      </c>
      <c r="H316" s="185"/>
      <c r="I316" s="45" t="str">
        <f>VLOOKUP($A316,Questions!$A$2:$X$333,23,0)&amp;""</f>
        <v/>
      </c>
      <c r="J316" s="185"/>
      <c r="K316" s="48" t="b">
        <v>0</v>
      </c>
      <c r="L316" s="1"/>
    </row>
    <row r="317" spans="1:12" s="29" customFormat="1" ht="409.6" x14ac:dyDescent="0.25">
      <c r="A317" s="19" t="str">
        <f>AI!$A$27</f>
        <v>AIGN-05</v>
      </c>
      <c r="B317" s="20" t="str">
        <f>VLOOKUP($A317,AI!$A$13:$E$55,2,0)&amp;""</f>
        <v>Does your solution support business rules to protect sensitive data from being ingested by the AI model?</v>
      </c>
      <c r="C317" s="45" t="str">
        <f>VLOOKUP($A317,AI!$A$13:$E$55,3,0)&amp;""</f>
        <v>Yes</v>
      </c>
      <c r="D317" s="34" t="str">
        <f>IF(LEFT(VLOOKUP($A317,AI!$A$13:$E$55,5,0),21)='Auto Responses'!$A$32,'Auto Responses'!$A$33,VLOOKUP($A317,AI!$A$13:$E$55,4,0))&amp;""</f>
        <v>Cursive's AI inference API enforces strict input validation that prevents sensitive data ingestion. The inference endpoints accept only structured writing process telemetry (keystroke timing, canvas activity, paste events, final text content) tied to an opaque LMS-issued UUID — the API does not accept arbitrary fields, and validation rejects requests containing data outside the expected schema. Cursive does not collect or accept name, email, IP-as-identifier, grade data, demographic data, financial data, PHI, or other sensitive personal information into the AI processing pipeline. The constrained classifier architecture (only specific feature types, no generative AI accepting arbitrary inputs) reinforces this control.</v>
      </c>
      <c r="E317" s="330" t="str">
        <f>VLOOKUP($A317,AI!$A$13:$E$55,5,0)&amp;""</f>
        <v>Provide data loss prevention (DLP) features as they relate to your AI offerings. Indicate whether these DLP rules are configurable at the institutional and/or user level.</v>
      </c>
      <c r="F317" s="195"/>
      <c r="G317" s="30" t="str">
        <f>VLOOKUP($A317,Questions!$A$2:$X$333,21,0)&amp;""</f>
        <v>Yes</v>
      </c>
      <c r="H317" s="185"/>
      <c r="I317" s="45" t="str">
        <f>VLOOKUP($A317,Questions!$A$2:$X$333,23,0)&amp;""</f>
        <v>Standard Importance</v>
      </c>
      <c r="J317" s="185"/>
      <c r="K317" s="48" t="b">
        <v>0</v>
      </c>
      <c r="L317" s="1"/>
    </row>
    <row r="318" spans="1:12" s="1" customFormat="1" ht="17.399999999999999" x14ac:dyDescent="0.25">
      <c r="A318" s="63" t="str">
        <f>VLOOKUP(LEFT($A319,4),'Auto Responses'!$N$4:$O$38,2,0)&amp;""</f>
        <v xml:space="preserve"> AI Policy</v>
      </c>
      <c r="B318" s="22"/>
      <c r="C318" s="31"/>
      <c r="D318" s="31"/>
      <c r="E318" s="331"/>
      <c r="F318" s="131" t="s">
        <v>1030</v>
      </c>
      <c r="G318" s="335" t="s">
        <v>869</v>
      </c>
      <c r="H318" s="335" t="s">
        <v>871</v>
      </c>
      <c r="I318" s="335" t="s">
        <v>19</v>
      </c>
      <c r="J318" s="335" t="s">
        <v>856</v>
      </c>
      <c r="K318" s="335" t="s">
        <v>867</v>
      </c>
    </row>
    <row r="319" spans="1:12" s="29" customFormat="1" ht="388.8" x14ac:dyDescent="0.25">
      <c r="A319" s="19" t="str">
        <f>AI!$A$29</f>
        <v>AIPL-01</v>
      </c>
      <c r="B319" s="20" t="str">
        <f>VLOOKUP($A319,AI!$A$13:$E$55,2,0)&amp;""</f>
        <v>Are your AI developer's policies, processes, procedures, and practices across the organization related to the mapping, measuring, and managing of AI risks conspicuously posted, unambiguous, and implemented effectively?*</v>
      </c>
      <c r="C319" s="45" t="str">
        <f>VLOOKUP($A319,AI!$A$13:$E$55,3,0)&amp;""</f>
        <v>No</v>
      </c>
      <c r="D319" s="34" t="str">
        <f>IF(LEFT(VLOOKUP($A319,AI!$A$13:$E$55,5,0),21)='Auto Responses'!$A$32,'Auto Responses'!$A$33,VLOOKUP($A319,AI!$A$13:$E$55,4,0))&amp;""</f>
        <v>Cursive does not yet maintain documented AI risk-mapping, measurement, and management policies that are conspicuously posted, unambiguous, and effectively implemented across the organization. AI risk considerations are embedded in the SDLC and Security Impact Analysis processes per the Cursive Policies and Procedures, but a standalone published AI Governance Policy aligned with the NIST AI RMF is not yet in place. Formalization of these policies is scoped for the AI governance roadmap.</v>
      </c>
      <c r="E319" s="330" t="str">
        <f>VLOOKUP($A319,AI!$A$13:$E$55,5,0)&amp;""</f>
        <v>Describe the steps your developers take to manage AI risks. Include a timeline for implementing policy and procedures for managing AI specific risks.</v>
      </c>
      <c r="F319" s="195"/>
      <c r="G319" s="30" t="str">
        <f>VLOOKUP($A319,Questions!$A$2:$X$333,21,0)&amp;""</f>
        <v>Yes</v>
      </c>
      <c r="H319" s="185"/>
      <c r="I319" s="45" t="str">
        <f>VLOOKUP($A319,Questions!$A$2:$X$333,23,0)&amp;""</f>
        <v>Critical Importance</v>
      </c>
      <c r="J319" s="185"/>
      <c r="K319" s="48" t="b">
        <v>0</v>
      </c>
      <c r="L319" s="1"/>
    </row>
    <row r="320" spans="1:12" s="29" customFormat="1" ht="409.6" x14ac:dyDescent="0.25">
      <c r="A320" s="19" t="str">
        <f>AI!$A$30</f>
        <v>AIPL-02</v>
      </c>
      <c r="B320" s="20" t="str">
        <f>VLOOKUP($A320,AI!$A$13:$E$55,2,0)&amp;""</f>
        <v>Have you identified and measured AI risks?*</v>
      </c>
      <c r="C320" s="45" t="str">
        <f>VLOOKUP($A320,AI!$A$13:$E$55,3,0)&amp;""</f>
        <v>No</v>
      </c>
      <c r="D320" s="34" t="str">
        <f>IF(LEFT(VLOOKUP($A320,AI!$A$13:$E$55,5,0),21)='Auto Responses'!$A$32,'Auto Responses'!$A$33,VLOOKUP($A320,AI!$A$13:$E$55,4,0))&amp;""</f>
        <v xml:space="preserve">Partly - Cursive has informally identified the primary AI risks to the TypeID service and has architected the production models in direct response. The two principal adversarial AI risks identified are: (1) generative AI use to defeat authorship verification (the "retype-from-LLM-output" pattern), addressed by the adversarially-trained Copy-behavior model; (2) agentic AI tools attempting to simulate human typing to evade verification, addressed by adversarial training of the Keyread model against typing telemetry collected from agentic AI sources. Formal documented risk identification, measurement methodology, and quantitative risk assessment aligned with the NIST AI RMF is not yet maintained; formalization is on the AI governance roadmap.
</v>
      </c>
      <c r="E320" s="330" t="str">
        <f>VLOOKUP($A320,AI!$A$13:$E$55,5,0)&amp;""</f>
        <v>Provide a timeline for performing an AI specific risk assessment. Describe your plan for identifying and measuring AI risk in the future.</v>
      </c>
      <c r="F320" s="195"/>
      <c r="G320" s="30" t="str">
        <f>VLOOKUP($A320,Questions!$A$2:$X$333,21,0)&amp;""</f>
        <v>Yes</v>
      </c>
      <c r="H320" s="185"/>
      <c r="I320" s="45" t="str">
        <f>VLOOKUP($A320,Questions!$A$2:$X$333,23,0)&amp;""</f>
        <v>Critical Importance</v>
      </c>
      <c r="J320" s="185"/>
      <c r="K320" s="48" t="b">
        <v>0</v>
      </c>
      <c r="L320" s="1"/>
    </row>
    <row r="321" spans="1:12" s="29" customFormat="1" ht="409.6" x14ac:dyDescent="0.25">
      <c r="A321" s="19" t="str">
        <f>AI!$A$31</f>
        <v>AIPL-03</v>
      </c>
      <c r="B321" s="20" t="str">
        <f>VLOOKUP($A321,AI!$A$13:$E$55,2,0)&amp;""</f>
        <v>In the event of an incident, can your solution's AI features be disabled in a timely manner?*</v>
      </c>
      <c r="C321" s="45" t="str">
        <f>VLOOKUP($A321,AI!$A$13:$E$55,3,0)&amp;""</f>
        <v>Yes</v>
      </c>
      <c r="D321" s="34" t="str">
        <f>IF(LEFT(VLOOKUP($A321,AI!$A$13:$E$55,5,0),21)='Auto Responses'!$A$32,'Auto Responses'!$A$33,VLOOKUP($A321,AI!$A$13:$E$55,4,0))&amp;""</f>
        <v>In the event of an AI-related incident (e.g., model performance degradation, suspected misuse, adversarial attack on the inference pipeline, or other AI-specific incident requiring response), AI features can be disabled in a timely manner. Disabling mechanisms include: (1) institution-level disablement via the Moodle plugin or LTI integration removal; (2) Cursive-side disablement via inference API rate-limiting, endpoint disablement, or feature flag controls; (3) full service halt via AWS-level operational controls. AI incident response is incorporated into the broader Incident Response Plan in the Cursive Policies and Procedures.</v>
      </c>
      <c r="E321" s="330" t="str">
        <f>VLOOKUP($A321,AI!$A$13:$E$55,5,0)&amp;""</f>
        <v>Provide documentation on how to disable AI features. Include a time estimate for the time between disabling the feature and when the feature is inaccessible to users.</v>
      </c>
      <c r="F321" s="195"/>
      <c r="G321" s="30" t="str">
        <f>VLOOKUP($A321,Questions!$A$2:$X$333,21,0)&amp;""</f>
        <v>Yes</v>
      </c>
      <c r="H321" s="185"/>
      <c r="I321" s="45" t="str">
        <f>VLOOKUP($A321,Questions!$A$2:$X$333,23,0)&amp;""</f>
        <v>Critical Importance</v>
      </c>
      <c r="J321" s="185"/>
      <c r="K321" s="48" t="b">
        <v>0</v>
      </c>
      <c r="L321" s="1"/>
    </row>
    <row r="322" spans="1:12" s="29" customFormat="1" ht="409.6" x14ac:dyDescent="0.25">
      <c r="A322" s="19" t="str">
        <f>AI!$A$32</f>
        <v>AIPL-04</v>
      </c>
      <c r="B322" s="20" t="str">
        <f>VLOOKUP($A322,AI!$A$13:$E$55,2,0)&amp;""</f>
        <v>If disabled because of an incident, can your solution's AI features be re-enabled in a timely manner?*</v>
      </c>
      <c r="C322" s="45" t="str">
        <f>VLOOKUP($A322,AI!$A$13:$E$55,3,0)&amp;""</f>
        <v>Yes</v>
      </c>
      <c r="D322" s="34" t="str">
        <f>IF(LEFT(VLOOKUP($A322,AI!$A$13:$E$55,5,0),21)='Auto Responses'!$A$32,'Auto Responses'!$A$33,VLOOKUP($A322,AI!$A$13:$E$55,4,0))&amp;""</f>
        <v>Following AI feature disablement in response to an incident, re-enablement follows the documented incident response and change management process: incident remediation per the severity-based timelines in the Incident Response Plan (Critical: 7 days; High: 30 days; Medium: 60 days; Low: 90 days), Security Impact Analysis of any model or infrastructure changes made during remediation, QA validation, and Founder/CEO approval before re-enablement. Affected institutional customers are notified per the breach notification commitment.</v>
      </c>
      <c r="E322" s="330" t="str">
        <f>VLOOKUP($A322,AI!$A$13:$E$55,5,0)&amp;""</f>
        <v>Provide documentation on how to enable AI features. Include a time estimate for the time between enabling the feature and when the feature is accessible to users.</v>
      </c>
      <c r="F322" s="195"/>
      <c r="G322" s="30" t="str">
        <f>VLOOKUP($A322,Questions!$A$2:$X$333,21,0)&amp;""</f>
        <v>Yes</v>
      </c>
      <c r="H322" s="185"/>
      <c r="I322" s="45" t="str">
        <f>VLOOKUP($A322,Questions!$A$2:$X$333,23,0)&amp;""</f>
        <v>Critical Importance</v>
      </c>
      <c r="J322" s="185"/>
      <c r="K322" s="48" t="b">
        <v>0</v>
      </c>
      <c r="L322" s="1"/>
    </row>
    <row r="323" spans="1:12" s="29" customFormat="1" ht="409.6" x14ac:dyDescent="0.25">
      <c r="A323" s="19" t="str">
        <f>AI!$A$33</f>
        <v>AIPL-05</v>
      </c>
      <c r="B323" s="20" t="str">
        <f>VLOOKUP($A323,AI!$A$13:$E$55,2,0)&amp;""</f>
        <v>Do you have documented technical and procedural processes to address potential negative impacts of AI as described by the AI Risk Management Framework (RMF)?</v>
      </c>
      <c r="C323" s="45" t="str">
        <f>VLOOKUP($A323,AI!$A$13:$E$55,3,0)&amp;""</f>
        <v>No</v>
      </c>
      <c r="D323" s="34" t="str">
        <f>IF(LEFT(VLOOKUP($A323,AI!$A$13:$E$55,5,0),21)='Auto Responses'!$A$32,'Auto Responses'!$A$33,VLOOKUP($A323,AI!$A$13:$E$55,4,0))&amp;""</f>
        <v>Cursive does not yet maintain documented technical and procedural processes specifically aligned with the NIST AI Risk Management Framework. AI risk considerations are embedded in the SDLC, Security Impact Analysis, and Incident Response processes, and operational practices align with several NIST AI RMF Govern/Map/Measure/Manage categories (notably adversarial training of production models, human-in-the-loop for AI-driven determinations, constrained input/output architecture, and inference logging). Formal NIST AI RMF alignment documentation is on the AI governance roadmap.</v>
      </c>
      <c r="E323" s="330" t="str">
        <f>VLOOKUP($A323,AI!$A$13:$E$55,5,0)&amp;""</f>
        <v>Describe your plan and timeline for implementing technical and procedural processes to mitigate negative impacts of AI, as defined by the NIST AI RMF.</v>
      </c>
      <c r="F323" s="195"/>
      <c r="G323" s="30" t="str">
        <f>VLOOKUP($A323,Questions!$A$2:$X$333,21,0)&amp;""</f>
        <v>Yes</v>
      </c>
      <c r="H323" s="185"/>
      <c r="I323" s="45" t="str">
        <f>VLOOKUP($A323,Questions!$A$2:$X$333,23,0)&amp;""</f>
        <v>Minor Importance</v>
      </c>
      <c r="J323" s="185"/>
      <c r="K323" s="48" t="b">
        <v>0</v>
      </c>
      <c r="L323" s="1"/>
    </row>
    <row r="324" spans="1:12" s="1" customFormat="1" ht="17.399999999999999" x14ac:dyDescent="0.25">
      <c r="A324" s="63" t="str">
        <f>VLOOKUP(LEFT($A325,4),'Auto Responses'!$N$4:$O$38,2,0)&amp;""</f>
        <v xml:space="preserve"> AI Data Security</v>
      </c>
      <c r="B324" s="22"/>
      <c r="C324" s="31"/>
      <c r="D324" s="31"/>
      <c r="E324" s="331"/>
      <c r="F324" s="131" t="s">
        <v>1030</v>
      </c>
      <c r="G324" s="335" t="s">
        <v>869</v>
      </c>
      <c r="H324" s="335" t="s">
        <v>871</v>
      </c>
      <c r="I324" s="335" t="s">
        <v>19</v>
      </c>
      <c r="J324" s="335" t="s">
        <v>856</v>
      </c>
      <c r="K324" s="335" t="s">
        <v>867</v>
      </c>
    </row>
    <row r="325" spans="1:12" s="29" customFormat="1" ht="409.6" x14ac:dyDescent="0.25">
      <c r="A325" s="19" t="str">
        <f>AI!$A$35</f>
        <v>AISC-01</v>
      </c>
      <c r="B325" s="20" t="str">
        <f>VLOOKUP($A325,AI!$A$13:$E$55,2,0)&amp;""</f>
        <v>If sensitive data is introduced to your solution's AI model, can the data be removed from the AI model by request?*</v>
      </c>
      <c r="C325" s="45" t="str">
        <f>VLOOKUP($A325,AI!$A$13:$E$55,3,0)&amp;""</f>
        <v>No</v>
      </c>
      <c r="D325" s="34" t="str">
        <f>IF(LEFT(VLOOKUP($A325,AI!$A$13:$E$55,5,0),21)='Auto Responses'!$A$32,'Auto Responses'!$A$33,VLOOKUP($A325,AI!$A$13:$E$55,4,0))&amp;""</f>
        <v xml:space="preserve">If sensitive data were inadvertently introduced into Cursive's AI training dataset, removing it from the production model would require model retraining. Cursive does not currently support per-record removal from a trained model without retraining (this is a known limitation of supervised ML systems generally; "machine unlearning" techniques exist in research but are not standard practice). However, the practical likelihood of this scenario is materially limited by Cursive's data minimization architecture: training data consists of Cursive-owned datasets. Institutional customer data is not used in training by default, and any deviation requires explicit written contractual agreement. If sensitive data were nonetheless identified in the training dataset, Cursive would: (1) remove the data from the training corpus; (2) retrain the affected model on the cleaned dataset; (3) deploy the retrained model per the change management process; (4) notify affected institutional customers per the breach notification commitment.
</v>
      </c>
      <c r="E325" s="330" t="str">
        <f>VLOOKUP($A325,AI!$A$13:$E$55,5,0)&amp;""</f>
        <v>If data removal or unlearning is not supported, explain why and describe compensating controls (e.g., filtering, short-term memory, differential privacy). Clarify how sensitive data is managed, and note any future plans to support deletion requests.</v>
      </c>
      <c r="F325" s="195"/>
      <c r="G325" s="30" t="str">
        <f>VLOOKUP($A325,Questions!$A$2:$X$333,21,0)&amp;""</f>
        <v>Yes</v>
      </c>
      <c r="H325" s="185"/>
      <c r="I325" s="45" t="str">
        <f>VLOOKUP($A325,Questions!$A$2:$X$333,23,0)&amp;""</f>
        <v>Critical Importance</v>
      </c>
      <c r="J325" s="185"/>
      <c r="K325" s="48" t="b">
        <v>0</v>
      </c>
      <c r="L325" s="1"/>
    </row>
    <row r="326" spans="1:12" s="29" customFormat="1" ht="324" x14ac:dyDescent="0.25">
      <c r="A326" s="19" t="str">
        <f>AI!$A$36</f>
        <v>AISC-02</v>
      </c>
      <c r="B326" s="20" t="str">
        <f>VLOOKUP($A326,AI!$A$13:$E$55,2,0)&amp;""</f>
        <v>Is user input data used to influence your solution's AI model?*</v>
      </c>
      <c r="C326" s="45" t="str">
        <f>VLOOKUP($A326,AI!$A$13:$E$55,3,0)&amp;""</f>
        <v>No</v>
      </c>
      <c r="D326" s="34" t="str">
        <f>IF(LEFT(VLOOKUP($A326,AI!$A$13:$E$55,5,0),21)='Auto Responses'!$A$32,'Auto Responses'!$A$33,VLOOKUP($A326,AI!$A$13:$E$55,4,0))&amp;""</f>
        <v xml:space="preserve">By default, user input data (institutional customer data flowing through the inference API) is NOT used to influence, train, fine-tune, or improve the production AI models. Training operates exclusively on Cursive-owned datasets. Inference inputs are processed transiently (raw keystroke telemetry deleted after authorship-payload generation) and are not retained as training data.
</v>
      </c>
      <c r="E326" s="330" t="str">
        <f>VLOOKUP($A326,AI!$A$13:$E$55,5,0)&amp;""</f>
        <v>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v>
      </c>
      <c r="F326" s="195"/>
      <c r="G326" s="30" t="str">
        <f>VLOOKUP($A326,Questions!$A$2:$X$333,21,0)&amp;""</f>
        <v>No</v>
      </c>
      <c r="H326" s="185"/>
      <c r="I326" s="45" t="str">
        <f>VLOOKUP($A326,Questions!$A$2:$X$333,23,0)&amp;""</f>
        <v>Critical Importance</v>
      </c>
      <c r="J326" s="185"/>
      <c r="K326" s="48" t="b">
        <v>0</v>
      </c>
      <c r="L326" s="1"/>
    </row>
    <row r="327" spans="1:12" s="29" customFormat="1" ht="291.60000000000002" x14ac:dyDescent="0.25">
      <c r="A327" s="19" t="str">
        <f>AI!$A$37</f>
        <v>AISC-03</v>
      </c>
      <c r="B327" s="20" t="str">
        <f>VLOOKUP($A327,AI!$A$13:$E$55,2,0)&amp;""</f>
        <v>Do you provide logging for your solution's AI feature(s) that includes user, date, and action taken?*</v>
      </c>
      <c r="C327" s="45" t="str">
        <f>VLOOKUP($A327,AI!$A$13:$E$55,3,0)&amp;""</f>
        <v>Yes</v>
      </c>
      <c r="D327" s="34" t="str">
        <f>IF(LEFT(VLOOKUP($A327,AI!$A$13:$E$55,5,0),21)='Auto Responses'!$A$32,'Auto Responses'!$A$33,VLOOKUP($A327,AI!$A$13:$E$55,4,0))&amp;""</f>
        <v>Inference logs include the LMS-issued UUID (user identifier — not name or email), timestamp, request context, request payload metadata, and model output (Verified / Verifying classification or Copy-behavior signal). Logs are retained per the documented retention practices in PRIV-08 and are available for institutional audit on request (consistent with HLAA-07).</v>
      </c>
      <c r="E327" s="330" t="str">
        <f>VLOOKUP($A327,AI!$A$13:$E$55,5,0)&amp;""</f>
        <v>Describe what audit logs capture, how long they are retained, whether they are immutable, and how they support audits and oversight.</v>
      </c>
      <c r="F327" s="195"/>
      <c r="G327" s="30" t="str">
        <f>VLOOKUP($A327,Questions!$A$2:$X$333,21,0)&amp;""</f>
        <v>Yes</v>
      </c>
      <c r="H327" s="185"/>
      <c r="I327" s="45" t="str">
        <f>VLOOKUP($A327,Questions!$A$2:$X$333,23,0)&amp;""</f>
        <v>Critical Importance</v>
      </c>
      <c r="J327" s="185"/>
      <c r="K327" s="48" t="b">
        <v>0</v>
      </c>
      <c r="L327" s="1"/>
    </row>
    <row r="328" spans="1:12" s="29" customFormat="1" ht="409.6" x14ac:dyDescent="0.25">
      <c r="A328" s="19" t="str">
        <f>AI!$A$38</f>
        <v>AISC-04</v>
      </c>
      <c r="B328" s="20" t="str">
        <f>VLOOKUP($A328,AI!$A$13:$E$55,2,0)&amp;""</f>
        <v>Please describe how you validate user inputs.</v>
      </c>
      <c r="C328" s="305" t="str">
        <f>VLOOKUP($A328,AI!$A$13:$E$55,3,0)&amp;""</f>
        <v xml:space="preserve">All inputs to the AI inference pipeline are validated through multiple layers: (1) Schema validation — inputs are formatted as structured JSON conforming to a strict schema; requests outside the schema are rejected before processing. (2) Origin attestation — requests must include valid LMS-issued tokens or webservice provider key fingerprints; requests without valid attestation are rejected at the API gateway and never reach the model. (3) Rate limiting — inference endpoints are rate-limited per institution and per UUID to prevent abuse. (4) Constrained input feature space — only specific writing process telemetry feature types are accepted (keystroke timing, canvas activity, paste events, final text); arbitrary fields, free-form prompts, or out-of-schema content are rejected. (5) HMAC-signed UUID tokens — the QR proof-of-authorship system uses HMAC-signed tokens that authenticate the source of authorship-related requests. Together, these controls prevent unauthorized data from being uploaded to or processed by the AI pipeline.
</v>
      </c>
      <c r="D328" s="306" t="str">
        <f>IF(LEFT(VLOOKUP($A328,AI!$A$13:$E$55,5,0),21)='Auto Responses'!$A$32,'Auto Responses'!$A$33,VLOOKUP($A328,AI!$A$13:$E$55,4,0))&amp;""</f>
        <v/>
      </c>
      <c r="E328" s="332" t="str">
        <f>VLOOKUP($A328,AI!$A$13:$E$55,5,0)&amp;""</f>
        <v>Please describe how your solution validates user inputs, including detection of anomalies, malicious inputs, and sensitive data. Indicate where validation occurs and how it supports security and compliance.</v>
      </c>
      <c r="F328" s="195"/>
      <c r="G328" s="30" t="str">
        <f>VLOOKUP($A328,Questions!$A$2:$X$333,21,0)&amp;""</f>
        <v>Not scored</v>
      </c>
      <c r="H328" s="185"/>
      <c r="I328" s="45" t="str">
        <f>VLOOKUP($A328,Questions!$A$2:$X$333,23,0)&amp;""</f>
        <v/>
      </c>
      <c r="J328" s="185"/>
      <c r="K328" s="48" t="b">
        <v>0</v>
      </c>
      <c r="L328" s="1"/>
    </row>
    <row r="329" spans="1:12" s="29" customFormat="1" ht="409.6" x14ac:dyDescent="0.25">
      <c r="A329" s="19" t="str">
        <f>AI!$A$39</f>
        <v>AISC-05</v>
      </c>
      <c r="B329" s="20" t="str">
        <f>VLOOKUP($A329,AI!$A$13:$E$55,2,0)&amp;""</f>
        <v>Do you plan for and mitigate supply-chain risk related to your AI features?</v>
      </c>
      <c r="C329" s="45" t="str">
        <f>VLOOKUP($A329,AI!$A$13:$E$55,3,0)&amp;""</f>
        <v>Yes</v>
      </c>
      <c r="D329" s="34" t="str">
        <f>IF(LEFT(VLOOKUP($A329,AI!$A$13:$E$55,5,0),21)='Auto Responses'!$A$32,'Auto Responses'!$A$33,VLOOKUP($A329,AI!$A$13:$E$55,4,0))&amp;""</f>
        <v xml:space="preserve">All inputs to the AI inference pipeline are validated through multiple layers: (1) Schema validation — inputs are formatted as structured JSON conforming to a strict schema; requests outside the schema are rejected before processing. (2) Origin attestation — requests must include valid LMS-issued tokens or webservice provider key fingerprints; requests without valid attestation are rejected at the API gateway and never reach the model. (3) Rate limiting — inference endpoints are rate-limited per institution and per UUID to prevent abuse. (4) Constrained input feature space — only specific writing process telemetry feature types are accepted (keystroke timing, canvas activity, paste events, final text); arbitrary fields, free-form prompts, or out-of-schema content are rejected. (5) HMAC-signed UUID tokens — the QR proof-of-authorship system uses HMAC-signed tokens that authenticate the source of authorship-related requests. Together, these controls prevent unauthorized data from being uploaded to or processed by the AI pipeline.
</v>
      </c>
      <c r="E329" s="330" t="str">
        <f>VLOOKUP($A329,AI!$A$13:$E$55,5,0)&amp;""</f>
        <v>Describe your use of SAST, SBOM, and monitoring of third-party AI components, and how you address vulnerabilities in line with NIST and state requirements</v>
      </c>
      <c r="F329" s="195"/>
      <c r="G329" s="30" t="str">
        <f>VLOOKUP($A329,Questions!$A$2:$X$333,21,0)&amp;""</f>
        <v>Yes</v>
      </c>
      <c r="H329" s="185"/>
      <c r="I329" s="45" t="str">
        <f>VLOOKUP($A329,Questions!$A$2:$X$333,23,0)&amp;""</f>
        <v>Standard Importance</v>
      </c>
      <c r="J329" s="185"/>
      <c r="K329" s="48" t="b">
        <v>0</v>
      </c>
      <c r="L329" s="1"/>
    </row>
    <row r="330" spans="1:12" s="1" customFormat="1" ht="17.399999999999999" x14ac:dyDescent="0.25">
      <c r="A330" s="63" t="str">
        <f>VLOOKUP(LEFT($A331,4),'Auto Responses'!$N$4:$O$38,2,0)&amp;""</f>
        <v xml:space="preserve"> AI Machine Learning</v>
      </c>
      <c r="B330" s="22"/>
      <c r="C330" s="31"/>
      <c r="D330" s="31"/>
      <c r="E330" s="331"/>
      <c r="F330" s="131" t="s">
        <v>1030</v>
      </c>
      <c r="G330" s="335" t="s">
        <v>869</v>
      </c>
      <c r="H330" s="335" t="s">
        <v>871</v>
      </c>
      <c r="I330" s="335" t="s">
        <v>19</v>
      </c>
      <c r="J330" s="335" t="s">
        <v>856</v>
      </c>
      <c r="K330" s="335" t="s">
        <v>867</v>
      </c>
    </row>
    <row r="331" spans="1:12" s="29" customFormat="1" ht="409.6" x14ac:dyDescent="0.25">
      <c r="A331" s="19" t="str">
        <f>AI!$A$41</f>
        <v>AIML-01</v>
      </c>
      <c r="B331" s="20" t="str">
        <f>VLOOKUP($A331,AI!$A$13:$E$55,2,0)&amp;""</f>
        <v>Do you separate ML training data from your ML solution data?*</v>
      </c>
      <c r="C331" s="45" t="str">
        <f>VLOOKUP($A331,AI!$A$13:$E$55,3,0)&amp;""</f>
        <v>Yes</v>
      </c>
      <c r="D331" s="34" t="str">
        <f>IF(LEFT(VLOOKUP($A331,AI!$A$13:$E$55,5,0),21)='Auto Responses'!$A$32,'Auto Responses'!$A$33,VLOOKUP($A331,AI!$A$13:$E$55,4,0))&amp;""</f>
        <v>ML training data is fully separated from production institutional ("solution") data. Training data for the Keyread and Copy-behavior models consists of Cursive-owned datasets validated against a diverse undergraduate population at the University of Maryland, Mechanical Turk, volunteers, 3rd party contractors, and friends and family; this training data resides in dedicated AWS storage with separate IAM scoping. Production institutional data flowing through the inference API is processed transiently — raw keystroke telemetry is deleted after authorship-payload generation — and is not commingled with training datasets. By default, no institutional customer data is incorporated into training; any deviation requires explicit written contractual agreement (see AIML-06 / AIML-07 in the scoped AI/ML domain).</v>
      </c>
      <c r="E331" s="330" t="str">
        <f>VLOOKUP($A331,AI!$A$13:$E$55,5,0)&amp;""</f>
        <v>Describe how training data is separated from production data, including anonymization, segregation controls, or exclusions. Indicate whether institutions can opt out of data being used in training.</v>
      </c>
      <c r="F331" s="195"/>
      <c r="G331" s="30" t="str">
        <f>VLOOKUP($A331,Questions!$A$2:$X$333,21,0)&amp;""</f>
        <v>Yes</v>
      </c>
      <c r="H331" s="185"/>
      <c r="I331" s="45" t="str">
        <f>VLOOKUP($A331,Questions!$A$2:$X$333,23,0)&amp;""</f>
        <v>Critical Importance</v>
      </c>
      <c r="J331" s="185"/>
      <c r="K331" s="48" t="b">
        <v>0</v>
      </c>
      <c r="L331" s="1"/>
    </row>
    <row r="332" spans="1:12" s="29" customFormat="1" ht="243" x14ac:dyDescent="0.25">
      <c r="A332" s="19" t="str">
        <f>AI!$A$42</f>
        <v>AIML-02</v>
      </c>
      <c r="B332" s="20" t="str">
        <f>VLOOKUP($A332,AI!$A$13:$E$55,2,0)&amp;""</f>
        <v>Do you authenticate and verify your ML model's feedback?*</v>
      </c>
      <c r="C332" s="45" t="str">
        <f>VLOOKUP($A332,AI!$A$13:$E$55,3,0)&amp;""</f>
        <v>Yes</v>
      </c>
      <c r="D332" s="34" t="str">
        <f>IF(LEFT(VLOOKUP($A332,AI!$A$13:$E$55,5,0),21)='Auto Responses'!$A$32,'Auto Responses'!$A$33,VLOOKUP($A332,AI!$A$13:$E$55,4,0))&amp;""</f>
        <v xml:space="preserve">Model output (the binary "Verified" / "Verifying" classification) is bound to a specific authenticated inference request — endpoints require a valid LMS-issued token, requests are rate-limited, and inference outputs are tied to the originating UUID and request context. Outputs are logged for audit. </v>
      </c>
      <c r="E332" s="330" t="str">
        <f>VLOOKUP($A332,AI!$A$13:$E$55,5,0)&amp;""</f>
        <v>Describe the process used to authenticate and verify ML model feedback. Include how you detect and mitigate attempts to introduce model skewing, poisoning, or date/phrase attacks.</v>
      </c>
      <c r="F332" s="195"/>
      <c r="G332" s="30" t="str">
        <f>VLOOKUP($A332,Questions!$A$2:$X$333,21,0)&amp;""</f>
        <v>Yes</v>
      </c>
      <c r="H332" s="185"/>
      <c r="I332" s="45" t="str">
        <f>VLOOKUP($A332,Questions!$A$2:$X$333,23,0)&amp;""</f>
        <v>Critical Importance</v>
      </c>
      <c r="J332" s="185"/>
      <c r="K332" s="48" t="b">
        <v>0</v>
      </c>
      <c r="L332" s="1"/>
    </row>
    <row r="333" spans="1:12" s="29" customFormat="1" ht="409.6" x14ac:dyDescent="0.25">
      <c r="A333" s="19" t="str">
        <f>AI!$A$43</f>
        <v>AIML-03</v>
      </c>
      <c r="B333" s="20" t="str">
        <f>VLOOKUP($A333,AI!$A$13:$E$55,2,0)&amp;""</f>
        <v>Is your ML training data vetted, validated, and verified before training the solution's AI model?</v>
      </c>
      <c r="C333" s="45" t="str">
        <f>VLOOKUP($A333,AI!$A$13:$E$55,3,0)&amp;""</f>
        <v>Yes</v>
      </c>
      <c r="D333" s="34" t="str">
        <f>IF(LEFT(VLOOKUP($A333,AI!$A$13:$E$55,5,0),21)='Auto Responses'!$A$32,'Auto Responses'!$A$33,VLOOKUP($A333,AI!$A$13:$E$55,4,0))&amp;""</f>
        <v xml:space="preserve">Training data for the Keyread and Copy-behavior models was vetted through a formal validation process: the data was sourced from a diverse population at the University of Maryland, and elsewhere, including Mechanical Turk, under controlled study conditions, reviewed for quality and representativeness, and validated against the authorship determination task before being used to train production models. The review may include AI classifiers as secondary checks to authenticate the submissions as original. 
</v>
      </c>
      <c r="E333" s="330" t="str">
        <f>VLOOKUP($A333,AI!$A$13:$E$55,5,0)&amp;""</f>
        <v>Describe how the training data is vetted, validated and verified before the AI model is trained. Include the process along with the AI/ML data policy. Describe your validation of data labelers to validate the accuracy of the data labeling.</v>
      </c>
      <c r="F333" s="195"/>
      <c r="G333" s="30" t="str">
        <f>VLOOKUP($A333,Questions!$A$2:$X$333,21,0)&amp;""</f>
        <v>Yes</v>
      </c>
      <c r="H333" s="185"/>
      <c r="I333" s="45" t="str">
        <f>VLOOKUP($A333,Questions!$A$2:$X$333,23,0)&amp;""</f>
        <v>Standard Importance</v>
      </c>
      <c r="J333" s="185"/>
      <c r="K333" s="48" t="b">
        <v>0</v>
      </c>
      <c r="L333" s="1"/>
    </row>
    <row r="334" spans="1:12" s="29" customFormat="1" ht="409.6" x14ac:dyDescent="0.25">
      <c r="A334" s="19" t="str">
        <f>AI!$A$44</f>
        <v>AIML-04</v>
      </c>
      <c r="B334" s="20" t="str">
        <f>VLOOKUP($A334,AI!$A$13:$E$55,2,0)&amp;""</f>
        <v>Is your ML training data monitored and audited?</v>
      </c>
      <c r="C334" s="45" t="str">
        <f>VLOOKUP($A334,AI!$A$13:$E$55,3,0)&amp;""</f>
        <v>No</v>
      </c>
      <c r="D334" s="34" t="str">
        <f>IF(LEFT(VLOOKUP($A334,AI!$A$13:$E$55,5,0),21)='Auto Responses'!$A$32,'Auto Responses'!$A$33,VLOOKUP($A334,AI!$A$13:$E$55,4,0))&amp;""</f>
        <v xml:space="preserve">Partial - Training data is access-controlled via AWS IAM with logging of access events (consistent with general AWS audit logging). A formal training-data monitoring and audit program — including periodic review of training data integrity, drift detection in training datasets, and documented audit logs specific to ML training data lifecycle — is not maintained as a discrete program at current company size. Cursive's training data is static and Cursive-owned (not continuously ingested from production); the dataset is small enough that informal review is tractable. Formalization is on the AI governance roadmap.
</v>
      </c>
      <c r="E334" s="330" t="str">
        <f>VLOOKUP($A334,AI!$A$13:$E$55,5,0)&amp;""</f>
        <v>Explain why training data is not currently monitored or audited, and describe any alternative safeguards in place or future plans to implement monitoring and auditing.</v>
      </c>
      <c r="F334" s="195"/>
      <c r="G334" s="30" t="str">
        <f>VLOOKUP($A334,Questions!$A$2:$X$333,21,0)&amp;""</f>
        <v>Yes</v>
      </c>
      <c r="H334" s="185"/>
      <c r="I334" s="45" t="str">
        <f>VLOOKUP($A334,Questions!$A$2:$X$333,23,0)&amp;""</f>
        <v>Standard Importance</v>
      </c>
      <c r="J334" s="185"/>
      <c r="K334" s="48" t="b">
        <v>0</v>
      </c>
      <c r="L334" s="1"/>
    </row>
    <row r="335" spans="1:12" s="29" customFormat="1" ht="409.6" x14ac:dyDescent="0.25">
      <c r="A335" s="19" t="str">
        <f>AI!$A$45</f>
        <v>AIML-05</v>
      </c>
      <c r="B335" s="20" t="str">
        <f>VLOOKUP($A335,AI!$A$13:$E$55,2,0)&amp;""</f>
        <v>Have you limited access to your ML training data to only staff with an explicit business need?</v>
      </c>
      <c r="C335" s="45" t="str">
        <f>VLOOKUP($A335,AI!$A$13:$E$55,3,0)&amp;""</f>
        <v>Yes</v>
      </c>
      <c r="D335" s="34" t="str">
        <f>IF(LEFT(VLOOKUP($A335,AI!$A$13:$E$55,5,0),21)='Auto Responses'!$A$32,'Auto Responses'!$A$33,VLOOKUP($A335,AI!$A$13:$E$55,4,0))&amp;""</f>
        <v>Access to ML training data is restricted to staff and subprocessors with explicit business need, scoped via AWS IAM least-privilege. The UAE-based ML engineering subprocessor (Tech Worm LLC) has access to training data infrastructure for model development purposes and operates under contractual restrictions including NDA, IAM scoping, and explicit prohibition on use of institutional client data in training. Founder/CEO maintains administrative access for governance purposes. No other staff have standing access to ML training data.</v>
      </c>
      <c r="E335" s="330" t="str">
        <f>VLOOKUP($A335,AI!$A$13:$E$55,5,0)&amp;""</f>
        <v>Include what roles at your organization have the ability to view or modify ML training data.</v>
      </c>
      <c r="F335" s="195"/>
      <c r="G335" s="30" t="str">
        <f>VLOOKUP($A335,Questions!$A$2:$X$333,21,0)&amp;""</f>
        <v>Yes</v>
      </c>
      <c r="H335" s="185"/>
      <c r="I335" s="45" t="str">
        <f>VLOOKUP($A335,Questions!$A$2:$X$333,23,0)&amp;""</f>
        <v>Minor Importance</v>
      </c>
      <c r="J335" s="185"/>
      <c r="K335" s="48" t="b">
        <v>0</v>
      </c>
      <c r="L335" s="1"/>
    </row>
    <row r="336" spans="1:12" s="29" customFormat="1" ht="409.6" x14ac:dyDescent="0.25">
      <c r="A336" s="19" t="str">
        <f>AI!$A$46</f>
        <v>AIML-06</v>
      </c>
      <c r="B336" s="20" t="str">
        <f>VLOOKUP($A336,AI!$A$13:$E$55,2,0)&amp;""</f>
        <v>Have you implemented adversarial training or other model defense mechanisms to protect your ML-related features?</v>
      </c>
      <c r="C336" s="45" t="str">
        <f>VLOOKUP($A336,AI!$A$13:$E$55,3,0)&amp;""</f>
        <v>Yes</v>
      </c>
      <c r="D336" s="34" t="str">
        <f>IF(LEFT(VLOOKUP($A336,AI!$A$13:$E$55,5,0),21)='Auto Responses'!$A$32,'Auto Responses'!$A$33,VLOOKUP($A336,AI!$A$13:$E$55,4,0))&amp;""</f>
        <v>Adversarial training is foundational to Cursive's ML architecture, not an afterthought. Both production models were designed and trained in direct response to specific adversarial threats to authorship verification:Copy-behavior model — adversarial-by-design. The Copy-behavior model exists specifically to defeat the most common adversarial pattern in AI-assisted academic dishonesty: a student generates text using a generative AI tool (ChatGPT, Claude, Gemini, etc.) and then retypes the output into the writing canvas to evade detection by tools that examine only final text. Cursive's Copy-behavior classifier characterizes the typing-behavior signature of retype-from-LLM-output activity — distinct from authentic composition, copy-paste, and ordinary editing — and surfaces this pattern for instructor review. The model was trained on adversarial examples generated under exactly this threat scenario. The model's existence is the defense.Keyread model — adversarially trained against agentic AI. The Keyread typing-biometric authorship classifier is trained against the second major adversarial threat: agentic AI tools (browser automation agents, AI-driven typing assistants, computer-use agents) attempting to simulate human typing behavior to evade authorship verification. Cursive collects typing telemetry from these adversarial sources, characterizes the typing patterns produced by agentic AI, and incorporates this data into model training. As the agentic-AI tooling landscape evolves, new agentic typing patterns are continuously collected and incorporated into retraining cycles, creating an ongoing adversarial training pipeline.Architectural defense mechanisms reinforcing the adversarially-trained models: (1) constrained input feature space — the inference API accepts only writing process telemetry, not arbitrary text input, which materially limits the attack surface relative to generative-AI services that accept arbitrary prompts; (2) bounded binary output (Verified / Verifying), which prevents adversaries from extracting model information through output manipulation or oracle queries; (3) request-level authentication and rate limiting on inference endpoints; (4) ongoing adversarial-input collection as new threat vectors emerge.Cursive's adversarial training program is the subject of an active provisional patent application covering the automated agent detection system (~130 adversarial signals across client-side fingerprint, interaction, and injection telemetry plus server-side request analysis). Formal documentation of the adversarial training methodology, threat model, and patent disclosures is being incorporated into the AI Governance Policy and Model Registry on the AI governance roadmap.</v>
      </c>
      <c r="E336" s="330" t="str">
        <f>VLOOKUP($A336,AI!$A$13:$E$55,5,0)&amp;""</f>
        <v>Describe the defensive strategies in place to protect ML features and how they are tested for effectiveness.</v>
      </c>
      <c r="F336" s="195"/>
      <c r="G336" s="30" t="str">
        <f>VLOOKUP($A336,Questions!$A$2:$X$333,21,0)&amp;""</f>
        <v>Yes</v>
      </c>
      <c r="H336" s="185"/>
      <c r="I336" s="45" t="str">
        <f>VLOOKUP($A336,Questions!$A$2:$X$333,23,0)&amp;""</f>
        <v>Minor Importance</v>
      </c>
      <c r="J336" s="185"/>
      <c r="K336" s="48" t="b">
        <v>0</v>
      </c>
      <c r="L336" s="1"/>
    </row>
    <row r="337" spans="1:14" s="29" customFormat="1" ht="409.6" x14ac:dyDescent="0.25">
      <c r="A337" s="19" t="str">
        <f>AI!$A$47</f>
        <v>AIML-07</v>
      </c>
      <c r="B337" s="20" t="str">
        <f>VLOOKUP($A337,AI!$A$13:$E$55,2,0)&amp;""</f>
        <v>Do you make your ML model transparent through documentation and log inputs and outputs?</v>
      </c>
      <c r="C337" s="45" t="str">
        <f>VLOOKUP($A337,AI!$A$13:$E$55,3,0)&amp;""</f>
        <v>Yes</v>
      </c>
      <c r="D337" s="34" t="str">
        <f>IF(LEFT(VLOOKUP($A337,AI!$A$13:$E$55,5,0),21)='Auto Responses'!$A$32,'Auto Responses'!$A$33,VLOOKUP($A337,AI!$A$13:$E$55,4,0))&amp;""</f>
        <v xml:space="preserve">Inference inputs and outputs are logged with UUID, timestamp, request context, and the binary "Verified" / "Not enough information" or "verifying" outcome. Logs are retained per the documented retention practices. Model documentation describing the Keyread and Copy-behavior architectures, input feature types, training data provenance, and output semantics exists within product help, documentation, and tips provided directly to teachers and students through the UX. We continue to work with customers to provide training, materials, documentation, and explanation within their interfaces. 
</v>
      </c>
      <c r="E337" s="330" t="str">
        <f>VLOOKUP($A337,AI!$A$13:$E$55,5,0)&amp;""</f>
        <v>Describe how the model is made transparent through documentation and logging of inputs and outputs. Provide explanations for predictions.</v>
      </c>
      <c r="F337" s="195"/>
      <c r="G337" s="30" t="str">
        <f>VLOOKUP($A337,Questions!$A$2:$X$333,21,0)&amp;""</f>
        <v>Yes</v>
      </c>
      <c r="H337" s="185"/>
      <c r="I337" s="45" t="str">
        <f>VLOOKUP($A337,Questions!$A$2:$X$333,23,0)&amp;""</f>
        <v>Minor Importance</v>
      </c>
      <c r="J337" s="185"/>
      <c r="K337" s="48" t="b">
        <v>0</v>
      </c>
      <c r="L337" s="1"/>
    </row>
    <row r="338" spans="1:14" s="29" customFormat="1" ht="356.4" x14ac:dyDescent="0.25">
      <c r="A338" s="19" t="str">
        <f>AI!$A$48</f>
        <v>AIML-08</v>
      </c>
      <c r="B338" s="20" t="str">
        <f>VLOOKUP($A338,AI!$A$13:$E$55,2,0)&amp;""</f>
        <v>Do you watermark your ML training data?</v>
      </c>
      <c r="C338" s="45" t="str">
        <f>VLOOKUP($A338,AI!$A$13:$E$55,3,0)&amp;""</f>
        <v>No</v>
      </c>
      <c r="D338" s="34" t="str">
        <f>IF(LEFT(VLOOKUP($A338,AI!$A$13:$E$55,5,0),21)='Auto Responses'!$A$32,'Auto Responses'!$A$33,VLOOKUP($A338,AI!$A$13:$E$55,4,0))&amp;""</f>
        <v xml:space="preserve">Training data is not watermarked. Cursive's training data is Cursive-owned and held in access-controlled AWS storage; the data is not distributed externally, syndicated, or shared in a manner that would benefit from watermarking for provenance or theft detection. Watermarking has not been identified as a meaningful control for the threat model Cursive operates against (closed training pipeline, internal staff access only).
</v>
      </c>
      <c r="E338" s="330" t="str">
        <f>VLOOKUP($A338,AI!$A$13:$E$55,5,0)&amp;""</f>
        <v>Explain why training data is not watermarked and any compensating controls or future plans.</v>
      </c>
      <c r="F338" s="195"/>
      <c r="G338" s="30" t="str">
        <f>VLOOKUP($A338,Questions!$A$2:$X$333,21,0)&amp;""</f>
        <v>Yes</v>
      </c>
      <c r="H338" s="185"/>
      <c r="I338" s="45" t="str">
        <f>VLOOKUP($A338,Questions!$A$2:$X$333,23,0)&amp;""</f>
        <v>Minor Importance</v>
      </c>
      <c r="J338" s="185"/>
      <c r="K338" s="48" t="b">
        <v>0</v>
      </c>
      <c r="L338" s="1"/>
    </row>
    <row r="339" spans="1:14" s="1" customFormat="1" ht="17.399999999999999" x14ac:dyDescent="0.25">
      <c r="A339" s="63" t="str">
        <f>VLOOKUP(LEFT($A340,4),'Auto Responses'!$N$4:$O$38,2,0)&amp;""</f>
        <v xml:space="preserve"> AI Large Language Model (LLM)</v>
      </c>
      <c r="B339" s="22"/>
      <c r="C339" s="131"/>
      <c r="D339" s="31"/>
      <c r="E339" s="334"/>
      <c r="F339" s="131" t="s">
        <v>1030</v>
      </c>
      <c r="G339" s="335" t="s">
        <v>869</v>
      </c>
      <c r="H339" s="335" t="s">
        <v>871</v>
      </c>
      <c r="I339" s="335" t="s">
        <v>19</v>
      </c>
      <c r="J339" s="335" t="s">
        <v>856</v>
      </c>
      <c r="K339" s="335" t="s">
        <v>867</v>
      </c>
    </row>
    <row r="340" spans="1:14" s="29" customFormat="1" ht="81" x14ac:dyDescent="0.25">
      <c r="A340" s="19" t="str">
        <f>AI!$A$50</f>
        <v>AILM-01</v>
      </c>
      <c r="B340" s="20" t="str">
        <f>VLOOKUP($A340,AI!$A$13:$E$55,2,0)&amp;""</f>
        <v>Do you limit your solution's LLM privileges by default?*</v>
      </c>
      <c r="C340" s="45" t="str">
        <f>VLOOKUP($A340,AI!$A$13:$E$55,3,0)&amp;""</f>
        <v/>
      </c>
      <c r="D340" s="34" t="str">
        <f>IF(LEFT(VLOOKUP($A340,AI!$A$13:$E$55,5,0),21)='Auto Responses'!$A$32,'Auto Responses'!$A$33,VLOOKUP($A340,AI!$A$13:$E$55,4,0))&amp;""</f>
        <v>This question does not apply.</v>
      </c>
      <c r="E340" s="330" t="str">
        <f>VLOOKUP($A340,AI!$A$13:$E$55,5,0)&amp;""</f>
        <v>Based on the response to AIQU-02, this question does not apply to this product or service.</v>
      </c>
      <c r="F340" s="195"/>
      <c r="G340" s="30" t="str">
        <f>VLOOKUP($A340,Questions!$A$2:$X$333,21,0)&amp;""</f>
        <v>Yes</v>
      </c>
      <c r="H340" s="185"/>
      <c r="I340" s="45" t="str">
        <f>VLOOKUP($A340,Questions!$A$2:$X$333,23,0)&amp;""</f>
        <v>Critical Importance</v>
      </c>
      <c r="J340" s="185"/>
      <c r="K340" s="48" t="b">
        <v>0</v>
      </c>
      <c r="L340" s="1"/>
    </row>
    <row r="341" spans="1:14" s="29" customFormat="1" ht="81" x14ac:dyDescent="0.25">
      <c r="A341" s="19" t="str">
        <f>AI!$A$51</f>
        <v>AILM-02</v>
      </c>
      <c r="B341" s="20" t="str">
        <f>VLOOKUP($A341,AI!$A$13:$E$55,2,0)&amp;""</f>
        <v>Is your LLM training data vetted, validated, and verified before training the solution's AI model?*</v>
      </c>
      <c r="C341" s="45" t="str">
        <f>VLOOKUP($A341,AI!$A$13:$E$55,3,0)&amp;""</f>
        <v/>
      </c>
      <c r="D341" s="34" t="str">
        <f>IF(LEFT(VLOOKUP($A341,AI!$A$13:$E$55,5,0),21)='Auto Responses'!$A$32,'Auto Responses'!$A$33,VLOOKUP($A341,AI!$A$13:$E$55,4,0))&amp;""</f>
        <v>This question does not apply.</v>
      </c>
      <c r="E341" s="330" t="str">
        <f>VLOOKUP($A341,AI!$A$13:$E$55,5,0)&amp;""</f>
        <v>Based on the response to AIQU-02, this question does not apply to this product or service.</v>
      </c>
      <c r="F341" s="195"/>
      <c r="G341" s="30" t="str">
        <f>VLOOKUP($A341,Questions!$A$2:$X$333,21,0)&amp;""</f>
        <v>Yes</v>
      </c>
      <c r="H341" s="185"/>
      <c r="I341" s="45" t="str">
        <f>VLOOKUP($A341,Questions!$A$2:$X$333,23,0)&amp;""</f>
        <v>Critical Importance</v>
      </c>
      <c r="J341" s="185"/>
      <c r="K341" s="48" t="b">
        <v>0</v>
      </c>
      <c r="L341" s="1"/>
    </row>
    <row r="342" spans="1:14" s="29" customFormat="1" ht="81" x14ac:dyDescent="0.25">
      <c r="A342" s="19" t="str">
        <f>AI!$A$52</f>
        <v>AILM-03</v>
      </c>
      <c r="B342" s="20" t="str">
        <f>VLOOKUP($A342,AI!$A$13:$E$55,2,0)&amp;""</f>
        <v>Do any actions taken by your solution's LLM features or plugins require human intervention?*</v>
      </c>
      <c r="C342" s="45" t="str">
        <f>VLOOKUP($A342,AI!$A$13:$E$55,3,0)&amp;""</f>
        <v/>
      </c>
      <c r="D342" s="34" t="str">
        <f>IF(LEFT(VLOOKUP($A342,AI!$A$13:$E$55,5,0),21)='Auto Responses'!$A$32,'Auto Responses'!$A$33,VLOOKUP($A342,AI!$A$13:$E$55,4,0))&amp;""</f>
        <v>This question does not apply.</v>
      </c>
      <c r="E342" s="330" t="str">
        <f>VLOOKUP($A342,AI!$A$13:$E$55,5,0)&amp;""</f>
        <v>Based on the response to AIQU-02, this question does not apply to this product or service.</v>
      </c>
      <c r="F342" s="195"/>
      <c r="G342" s="30" t="str">
        <f>VLOOKUP($A342,Questions!$A$2:$X$333,21,0)&amp;""</f>
        <v>Yes</v>
      </c>
      <c r="H342" s="185"/>
      <c r="I342" s="45" t="str">
        <f>VLOOKUP($A342,Questions!$A$2:$X$333,23,0)&amp;""</f>
        <v>Critical Importance</v>
      </c>
      <c r="J342" s="185"/>
      <c r="K342" s="48" t="b">
        <v>0</v>
      </c>
      <c r="L342" s="1"/>
    </row>
    <row r="343" spans="1:14" s="29" customFormat="1" ht="81" x14ac:dyDescent="0.25">
      <c r="A343" s="19" t="str">
        <f>AI!$A$53</f>
        <v>AILM-04</v>
      </c>
      <c r="B343" s="20" t="str">
        <f>VLOOKUP($A343,AI!$A$13:$E$55,2,0)&amp;""</f>
        <v>Do you limit multiple LLM model plugins being called as part of a single input?*</v>
      </c>
      <c r="C343" s="45" t="str">
        <f>VLOOKUP($A343,AI!$A$13:$E$55,3,0)&amp;""</f>
        <v/>
      </c>
      <c r="D343" s="34" t="str">
        <f>IF(LEFT(VLOOKUP($A343,AI!$A$13:$E$55,5,0),21)='Auto Responses'!$A$32,'Auto Responses'!$A$33,VLOOKUP($A343,AI!$A$13:$E$55,4,0))&amp;""</f>
        <v>This question does not apply.</v>
      </c>
      <c r="E343" s="330" t="str">
        <f>VLOOKUP($A343,AI!$A$13:$E$55,5,0)&amp;""</f>
        <v>Based on the response to AIQU-02, this question does not apply to this product or service.</v>
      </c>
      <c r="F343" s="195"/>
      <c r="G343" s="30" t="str">
        <f>VLOOKUP($A343,Questions!$A$2:$X$333,21,0)&amp;""</f>
        <v>Yes</v>
      </c>
      <c r="H343" s="185"/>
      <c r="I343" s="45" t="str">
        <f>VLOOKUP($A343,Questions!$A$2:$X$333,23,0)&amp;""</f>
        <v>Critical Importance</v>
      </c>
      <c r="J343" s="185"/>
      <c r="K343" s="48" t="b">
        <v>0</v>
      </c>
      <c r="L343" s="1"/>
    </row>
    <row r="344" spans="1:14" s="29" customFormat="1" ht="81" x14ac:dyDescent="0.25">
      <c r="A344" s="19" t="str">
        <f>AI!$A$54</f>
        <v>AILM-05</v>
      </c>
      <c r="B344" s="20" t="str">
        <f>VLOOKUP($A344,AI!$A$13:$E$55,2,0)&amp;""</f>
        <v>Do you limit your solution's LLM resource use per request, per step, and per action?</v>
      </c>
      <c r="C344" s="45" t="str">
        <f>VLOOKUP($A344,AI!$A$13:$E$55,3,0)&amp;""</f>
        <v/>
      </c>
      <c r="D344" s="34" t="str">
        <f>IF(LEFT(VLOOKUP($A344,AI!$A$13:$E$55,5,0),21)='Auto Responses'!$A$32,'Auto Responses'!$A$33,VLOOKUP($A344,AI!$A$13:$E$55,4,0))&amp;""</f>
        <v>This question does not apply.</v>
      </c>
      <c r="E344" s="330" t="str">
        <f>VLOOKUP($A344,AI!$A$13:$E$55,5,0)&amp;""</f>
        <v>Based on the response to AIQU-02, this question does not apply to this product or service.</v>
      </c>
      <c r="F344" s="195"/>
      <c r="G344" s="30" t="str">
        <f>VLOOKUP($A344,Questions!$A$2:$X$333,21,0)&amp;""</f>
        <v>Yes</v>
      </c>
      <c r="H344" s="185"/>
      <c r="I344" s="45" t="str">
        <f>VLOOKUP($A344,Questions!$A$2:$X$333,23,0)&amp;""</f>
        <v>Standard Importance</v>
      </c>
      <c r="J344" s="185"/>
      <c r="K344" s="48" t="b">
        <v>0</v>
      </c>
      <c r="L344" s="1"/>
    </row>
    <row r="345" spans="1:14" s="29" customFormat="1" ht="81" x14ac:dyDescent="0.25">
      <c r="A345" s="19" t="str">
        <f>AI!$A$55</f>
        <v>AILM-06</v>
      </c>
      <c r="B345" s="20" t="str">
        <f>VLOOKUP($A345,AI!$A$13:$E$55,2,0)&amp;""</f>
        <v>Do you leverage LLM model tuning or other model validation mechanisms?</v>
      </c>
      <c r="C345" s="45" t="str">
        <f>VLOOKUP($A345,AI!$A$13:$E$55,3,0)&amp;""</f>
        <v/>
      </c>
      <c r="D345" s="34" t="str">
        <f>IF(LEFT(VLOOKUP($A345,AI!$A$13:$E$55,5,0),21)='Auto Responses'!$A$32,'Auto Responses'!$A$33,VLOOKUP($A345,AI!$A$13:$E$55,4,0))&amp;""</f>
        <v>This question does not apply.</v>
      </c>
      <c r="E345" s="330" t="str">
        <f>VLOOKUP($A345,AI!$A$13:$E$55,5,0)&amp;""</f>
        <v>Based on the response to AIQU-02, this question does not apply to this product or service.</v>
      </c>
      <c r="F345" s="195"/>
      <c r="G345" s="30" t="str">
        <f>VLOOKUP($A345,Questions!$A$2:$X$333,21,0)&amp;""</f>
        <v>Yes</v>
      </c>
      <c r="H345" s="185"/>
      <c r="I345" s="45" t="str">
        <f>VLOOKUP($A345,Questions!$A$2:$X$333,23,0)&amp;""</f>
        <v>Standard Importance</v>
      </c>
      <c r="J345" s="185"/>
      <c r="K345" s="48" t="b">
        <v>0</v>
      </c>
      <c r="L345" s="1"/>
      <c r="N345" s="238" t="s">
        <v>1449</v>
      </c>
    </row>
    <row r="346" spans="1:14" ht="42" customHeight="1" x14ac:dyDescent="0.3">
      <c r="A346" s="267" t="s">
        <v>1507</v>
      </c>
    </row>
    <row r="347" spans="1:14" ht="15" hidden="1" customHeight="1" x14ac:dyDescent="0.3"/>
    <row r="348" spans="1:14" ht="15" hidden="1" customHeight="1" x14ac:dyDescent="0.3"/>
    <row r="349" spans="1:14" ht="15" hidden="1" customHeight="1" x14ac:dyDescent="0.3"/>
    <row r="350" spans="1:14" ht="15" hidden="1" customHeight="1" x14ac:dyDescent="0.3"/>
    <row r="351" spans="1:14" ht="15" hidden="1" customHeight="1" x14ac:dyDescent="0.3"/>
    <row r="352" spans="1:14" ht="15" hidden="1" customHeight="1" x14ac:dyDescent="0.3"/>
    <row r="353" ht="15" hidden="1" customHeight="1" x14ac:dyDescent="0.3"/>
    <row r="354" ht="15" hidden="1" customHeight="1" x14ac:dyDescent="0.3"/>
    <row r="355" ht="15" hidden="1" customHeight="1" x14ac:dyDescent="0.3"/>
    <row r="356" ht="15" hidden="1" customHeight="1" x14ac:dyDescent="0.3"/>
    <row r="357" ht="15" hidden="1" customHeight="1" x14ac:dyDescent="0.3"/>
    <row r="358" ht="15" hidden="1" customHeight="1" x14ac:dyDescent="0.3"/>
    <row r="359" ht="15" hidden="1" customHeight="1" x14ac:dyDescent="0.3"/>
    <row r="360" ht="15" hidden="1" customHeight="1" x14ac:dyDescent="0.3"/>
    <row r="361" ht="15" hidden="1" customHeight="1" x14ac:dyDescent="0.3"/>
    <row r="362" ht="15" hidden="1" customHeight="1" x14ac:dyDescent="0.3"/>
    <row r="363" ht="15" hidden="1" customHeight="1" x14ac:dyDescent="0.3"/>
  </sheetData>
  <mergeCells count="1">
    <mergeCell ref="A19:C19"/>
  </mergeCells>
  <conditionalFormatting sqref="F21:G40">
    <cfRule type="dataBar" priority="3">
      <dataBar>
        <cfvo type="num" val="0"/>
        <cfvo type="num" val="1"/>
        <color rgb="FFD0DAF0"/>
      </dataBar>
      <extLst>
        <ext xmlns:x14="http://schemas.microsoft.com/office/spreadsheetml/2009/9/main" uri="{B025F937-C7B1-47D3-B67F-A62EFF666E3E}">
          <x14:id>{146DD6DD-DBE8-4342-A96D-7D447F073938}</x14:id>
        </ext>
      </extLst>
    </cfRule>
  </conditionalFormatting>
  <conditionalFormatting sqref="H40:I40">
    <cfRule type="dataBar" priority="2">
      <dataBar>
        <cfvo type="num" val="0"/>
        <cfvo type="num" val="1"/>
        <color rgb="FF638EC6"/>
      </dataBar>
      <extLst>
        <ext xmlns:x14="http://schemas.microsoft.com/office/spreadsheetml/2009/9/main" uri="{B025F937-C7B1-47D3-B67F-A62EFF666E3E}">
          <x14:id>{C3C44FFB-33C6-45D6-A2DB-1240E27BE538}</x14:id>
        </ext>
      </extLst>
    </cfRule>
  </conditionalFormatting>
  <dataValidations xWindow="1346" yWindow="518" count="2">
    <dataValidation allowBlank="1" showInputMessage="1" showErrorMessage="1" prompt="This answer has been populated from the &quot;START HERE&quot; tab and does not need to be re-entered." sqref="C11:C17" xr:uid="{6A8A5DD2-DBC5-4AFA-9212-26517D452447}"/>
    <dataValidation allowBlank="1" showInputMessage="1" showErrorMessage="1" promptTitle="Warning!" prompt="The HECVAT is built using a number of complex formulas. Editing this cell can break the functionality of the tool. " sqref="I2 B20:B40 C20 C40 B2:B17 A3:A17 D20:I40 I56:I345 G56:G345 A44:E346" xr:uid="{42C50130-3A57-4C1D-932F-FE42EF919690}"/>
  </dataValidations>
  <hyperlinks>
    <hyperlink ref="G21" location="'Institution Evaluation'!A65" display="'Institution Evaluation'!A65" xr:uid="{9BB6B783-2D5B-429A-A38D-F31024220AC6}"/>
    <hyperlink ref="G38" location="'Institution Evaluation'!A309" display="'Institution Evaluation'!A309" xr:uid="{B8DD21E8-AFF2-458D-832C-276DC34D9341}"/>
    <hyperlink ref="G39" location="'Privacy Analyst Evaluation'!A1" display="'Privacy Analyst Evaluation'!A1" xr:uid="{98511C3B-577E-4E85-AEF9-70B142A9EA93}"/>
    <hyperlink ref="F226" location="'Institution Evaluation'!B20" display="Back to Scorecard" xr:uid="{6FE45276-9603-4F4F-8578-735AF2BBFC49}"/>
    <hyperlink ref="F245" location="'Institution Evaluation'!B20" display="Back to Scorecard" xr:uid="{2E72BCD7-5D22-471B-9190-B4D53BA791CB}"/>
    <hyperlink ref="F255" location="'Institution Evaluation'!B20" display="Back to Scorecard" xr:uid="{1DF6CF9D-1B58-4E26-BDCF-036EBA6E0137}"/>
    <hyperlink ref="F285" location="'Institution Evaluation'!B20" display="Back to Scorecard" xr:uid="{625C8E31-7739-454D-B7F0-9328178B0745}"/>
    <hyperlink ref="F298" location="'Institution Evaluation'!B20" display="Back to Scorecard" xr:uid="{3FBC5863-16F9-4DF3-99D5-57A3F598FC3A}"/>
    <hyperlink ref="F309" location="'Institution Evaluation'!B20" display="Back to Scorecard" xr:uid="{1E843BFD-9352-466A-A37F-3F6DC0997DC8}"/>
    <hyperlink ref="F312" location="'Institution Evaluation'!B20" display="Back to Scorecard" xr:uid="{A50B3FAF-0DD0-47AE-A226-3EE8F4666964}"/>
    <hyperlink ref="F318" location="'Institution Evaluation'!B20" display="Back to Scorecard" xr:uid="{8578A02B-414A-4B89-9874-6E0F0CABA11C}"/>
    <hyperlink ref="F324" location="'Institution Evaluation'!B20" display="Back to Scorecard" xr:uid="{4EAF07E3-A446-49D6-9B81-301D7A6A2DFE}"/>
    <hyperlink ref="F330" location="'Institution Evaluation'!B20" display="Back to Scorecard" xr:uid="{C9BE1873-AF3B-4E05-82F3-E1ED6FD8F27D}"/>
    <hyperlink ref="F339" location="'Institution Evaluation'!B20" display="Back to Scorecard" xr:uid="{5672A663-5CCE-44F8-8363-A99CF2D6F791}"/>
    <hyperlink ref="F219" location="'Institution Evaluation'!B20" display="Back to Scorecard" xr:uid="{83828567-04BF-459E-8BE2-0044D0127369}"/>
    <hyperlink ref="F214" location="'Institution Evaluation'!B20" display="Back to Scorecard" xr:uid="{A1BEA664-9690-4B03-A04C-A117FCFB989B}"/>
    <hyperlink ref="F202" location="'Institution Evaluation'!B20" display="Back to Scorecard" xr:uid="{3836858E-46B1-4C36-8D02-D0F05A52A25D}"/>
    <hyperlink ref="F185" location="'Institution Evaluation'!B20" display="Back to Scorecard" xr:uid="{28F17DC6-289B-4707-8B7E-A7CB84C7B4E7}"/>
    <hyperlink ref="F170" location="'Institution Evaluation'!B20" display="Back to Scorecard" xr:uid="{A20522A8-B50C-4AB4-9230-9AAB73E30EE3}"/>
    <hyperlink ref="F146" location="'Institution Evaluation'!B20" display="Back to Scorecard" xr:uid="{1B0F8724-01FD-41CC-8969-8150BDFB0208}"/>
    <hyperlink ref="F127" location="'Institution Evaluation'!B20" display="Back to Scorecard" xr:uid="{971A4E34-19F9-45C1-9027-6E3D641F88EA}"/>
    <hyperlink ref="F111" location="'Institution Evaluation'!B20" display="Back to Scorecard" xr:uid="{D01D5539-6E7F-46C9-874E-F0ADC51C4D23}"/>
    <hyperlink ref="F94" location="'Institution Evaluation'!B20" display="Back to Scorecard" xr:uid="{D0E197AF-1A83-4B46-B53C-01D46E5B6996}"/>
    <hyperlink ref="F88" location="'Institution Evaluation'!B20" display="Back to Scorecard" xr:uid="{0E1BC0D2-F0CC-4575-A673-A3D3CD3DB862}"/>
    <hyperlink ref="F80" location="'Institution Evaluation'!B20" display="Back to Scorecard" xr:uid="{E02B3B42-5558-465B-BDCA-EDE683CAD9F3}"/>
    <hyperlink ref="F71" location="'Institution Evaluation'!B20" display="Back to Scorecard" xr:uid="{2A563F40-8112-422A-B701-8423B34C6A6C}"/>
    <hyperlink ref="F65" location="'Institution Evaluation'!B20" display="Back to Scorecard" xr:uid="{8F2468E9-F2C9-48B9-A074-8DA2F50452F2}"/>
    <hyperlink ref="F55" location="'Institution Evaluation'!B20" display="Back to Scorecard" xr:uid="{9B29E0DB-9237-4EDA-B6E6-FFE05032A5EC}"/>
    <hyperlink ref="A10" r:id="rId1" display="http://www.educause.edu/HECVAT" xr:uid="{CA4B97E8-4BB8-44D3-873F-D2FA5808C236}"/>
    <hyperlink ref="A52" r:id="rId2" display="http://www.educause.edu/HECVAT" xr:uid="{C50E9FB8-ECD0-41CB-A4B7-EF5F93086563}"/>
    <hyperlink ref="G22:G37" location="'Institution Evaluation'!A66" display="'Institution Evaluation'!A66" xr:uid="{22254C26-D2F7-4EB4-9DD6-D7E4EEC9BD73}"/>
    <hyperlink ref="G22" location="'Institution Evaluation'!A80" display="'Institution Evaluation'!A80" xr:uid="{A10D3289-9180-4FDC-B8D5-63AD6CFC39EF}"/>
    <hyperlink ref="G23" location="'Institution Evaluation'!A88" display="'Institution Evaluation'!A88" xr:uid="{524A5B53-524D-4C49-80B6-7A6193774045}"/>
    <hyperlink ref="G24" location="'Institution Evaluation'!A94" display="'Institution Evaluation'!A94" xr:uid="{3E5018C9-5D30-4B64-BCD3-F5D205B6CBC9}"/>
    <hyperlink ref="G25" location="'Institution Evaluation'!A111" display="'Institution Evaluation'!A111" xr:uid="{39439366-0FC8-4EBB-937F-40D8ED0C5787}"/>
    <hyperlink ref="G26" location="'Institution Evaluation'!A127" display="'Institution Evaluation'!A127" xr:uid="{B1EFC601-86CF-4CF8-B268-B760D5CE7AE6}"/>
    <hyperlink ref="G27" location="'Institution Evaluation'!A146" display="'Institution Evaluation'!A146" xr:uid="{3E963CE1-C7B0-46B7-B91D-075492C2E291}"/>
    <hyperlink ref="G28" location="'Institution Evaluation'!A170" display="'Institution Evaluation'!A170" xr:uid="{D192E810-F22F-4DB9-B21F-0F5C1AFED95F}"/>
    <hyperlink ref="G29" location="'Institution Evaluation'!A185" display="'Institution Evaluation'!A185" xr:uid="{60E36B18-3CC8-4A4A-8578-CF3BABBCC3DC}"/>
    <hyperlink ref="G30" location="'Institution Evaluation'!A202" display="'Institution Evaluation'!A202" xr:uid="{743F20BC-A9E4-44F7-A65A-0699920C239A}"/>
    <hyperlink ref="G31" location="'Institution Evaluation'!A214" display="'Institution Evaluation'!A214" xr:uid="{7A781CA3-C3CD-4D04-A143-2CCB454E7A77}"/>
    <hyperlink ref="G32" location="'Institution Evaluation'!A219" display="'Institution Evaluation'!A219" xr:uid="{F512D42C-44E4-4272-9735-B1E48A26C3F7}"/>
    <hyperlink ref="G33" location="'Institution Evaluation'!A245" display="'Institution Evaluation'!A245" xr:uid="{9B9D6919-7160-4762-8FB7-2C707E40F383}"/>
    <hyperlink ref="G34" location="'Institution Evaluation'!A255" display="'Institution Evaluation'!A255" xr:uid="{5EEDD713-7301-4895-8DD6-AAAA68C4654D}"/>
    <hyperlink ref="G35" location="'Institution Evaluation'!A285" display="'Institution Evaluation'!A285" xr:uid="{EF1E4758-B98D-49EB-98E4-3CEEB67EDDD3}"/>
    <hyperlink ref="G36" location="'Institution Evaluation'!A298" display="'Institution Evaluation'!A298" xr:uid="{8F960736-28ED-4591-AB4A-7B6D1C3ED446}"/>
    <hyperlink ref="G37" location="'Institution Evaluation'!A226" display="'Institution Evaluation'!A226" xr:uid="{8D342281-9503-4307-A8A3-6F9A40BBB163}"/>
  </hyperlinks>
  <pageMargins left="0.7" right="0.7" top="0.75" bottom="0.75" header="0.3" footer="0.3"/>
  <pageSetup orientation="portrait" verticalDpi="300" r:id="rId3"/>
  <extLst>
    <ext xmlns:x14="http://schemas.microsoft.com/office/spreadsheetml/2009/9/main" uri="{78C0D931-6437-407d-A8EE-F0AAD7539E65}">
      <x14:conditionalFormattings>
        <x14:conditionalFormatting xmlns:xm="http://schemas.microsoft.com/office/excel/2006/main">
          <x14:cfRule type="dataBar" id="{146DD6DD-DBE8-4342-A96D-7D447F073938}">
            <x14:dataBar minLength="0" maxLength="100" gradient="0" direction="leftToRight" axisPosition="none">
              <x14:cfvo type="num">
                <xm:f>0</xm:f>
              </x14:cfvo>
              <x14:cfvo type="num">
                <xm:f>1</xm:f>
              </x14:cfvo>
              <x14:negativeFillColor rgb="FFFF0000"/>
            </x14:dataBar>
          </x14:cfRule>
          <xm:sqref>F21:G40</xm:sqref>
        </x14:conditionalFormatting>
        <x14:conditionalFormatting xmlns:xm="http://schemas.microsoft.com/office/excel/2006/main">
          <x14:cfRule type="dataBar" id="{C3C44FFB-33C6-45D6-A2DB-1240E27BE538}">
            <x14:dataBar minLength="0" maxLength="100" gradient="0" direction="leftToRight" axisPosition="none">
              <x14:cfvo type="num">
                <xm:f>0</xm:f>
              </x14:cfvo>
              <x14:cfvo type="num">
                <xm:f>1</xm:f>
              </x14:cfvo>
              <x14:negativeFillColor rgb="FFFF0000"/>
            </x14:dataBar>
          </x14:cfRule>
          <xm:sqref>H40:I40</xm:sqref>
        </x14:conditionalFormatting>
      </x14:conditionalFormattings>
    </ext>
    <ext xmlns:x14="http://schemas.microsoft.com/office/spreadsheetml/2009/9/main" uri="{CCE6A557-97BC-4b89-ADB6-D9C93CAAB3DF}">
      <x14:dataValidations xmlns:xm="http://schemas.microsoft.com/office/excel/2006/main" xWindow="1346" yWindow="518" count="2">
        <x14:dataValidation type="list" allowBlank="1" showInputMessage="1" showErrorMessage="1" xr:uid="{87D58459-7D2A-4093-AA23-CB3B86A17A63}">
          <x14:formula1>
            <xm:f>'Auto Responses'!$J$11:$J$14</xm:f>
          </x14:formula1>
          <xm:sqref>J56:J64 J331:J338 J325:J329 J319:J323 J313:J317 J310:J311 J299:J308 J286:J297 J256:J284 J227:J244 J220:J225 J215:J218 J203:J213 J186:J201 J171:J184 J147:J169 J128:J145 J112:J126 J95:J110 J89:J93 J81:J87 J72:J79 J66:J70 J340:J345 J246:J254</xm:sqref>
        </x14:dataValidation>
        <x14:dataValidation type="list" allowBlank="1" showInputMessage="1" showErrorMessage="1" xr:uid="{11ECA3B0-CCF9-44AB-BABD-846BE063E009}">
          <x14:formula1>
            <xm:f>'Auto Responses'!$J$7:$J$8</xm:f>
          </x14:formula1>
          <xm:sqref>H331:H338 H325:H329 H319:H323 H313:H317 H310:H311 H299:H308 H286:H297 H256:H284 H227:H244 H220:H225 H215:H218 H203:H213 H186:H201 H171:H184 H147:H169 H128:H145 H112:H126 H95:H110 H89:H93 H81:H87 H72:H79 H66:H70 H56:H64 H340:H345 H246:H254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e987aa-ba57-409a-b474-072a10bf63c3" xsi:nil="true"/>
    <lcf76f155ced4ddcb4097134ff3c332f xmlns="59db3a20-cd76-483e-8241-5de0717f7c1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14" ma:contentTypeDescription="Create a new document." ma:contentTypeScope="" ma:versionID="374bacd72e5c45aae25e10926e85a2e0">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18a1620b1ab938580dc908f4006cf221"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F336D-6B97-407A-8300-C0C188644765}">
  <ds:schemaRefs>
    <ds:schemaRef ds:uri="http://purl.org/dc/dcmitype/"/>
    <ds:schemaRef ds:uri="http://schemas.microsoft.com/office/2006/metadata/properties"/>
    <ds:schemaRef ds:uri="6ce987aa-ba57-409a-b474-072a10bf63c3"/>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59db3a20-cd76-483e-8241-5de0717f7c1b"/>
    <ds:schemaRef ds:uri="http://www.w3.org/XML/1998/namespace"/>
    <ds:schemaRef ds:uri="http://purl.org/dc/terms/"/>
  </ds:schemaRefs>
</ds:datastoreItem>
</file>

<file path=customXml/itemProps2.xml><?xml version="1.0" encoding="utf-8"?>
<ds:datastoreItem xmlns:ds="http://schemas.openxmlformats.org/officeDocument/2006/customXml" ds:itemID="{3E448F0C-8568-40B6-BE29-54659AE12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7CA352-70DF-4A8C-BE16-1BA25A2D45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START HERE</vt:lpstr>
      <vt:lpstr>Organization</vt:lpstr>
      <vt:lpstr>Product</vt:lpstr>
      <vt:lpstr>Infrastructure</vt:lpstr>
      <vt:lpstr>IT Accessibility</vt:lpstr>
      <vt:lpstr>Case-Specific</vt:lpstr>
      <vt:lpstr>AI</vt:lpstr>
      <vt:lpstr>Privacy</vt:lpstr>
      <vt:lpstr>Institution Evaluation</vt:lpstr>
      <vt:lpstr>High-Risk Evaluation</vt:lpstr>
      <vt:lpstr>Privacy Analyst Evaluation</vt:lpstr>
      <vt:lpstr>Analyst Reference</vt:lpstr>
      <vt:lpstr>Questions</vt:lpstr>
      <vt:lpstr>Auto Responses</vt:lpstr>
      <vt:lpstr>(backend scoring)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HECVAT 4.0</dc:title>
  <dc:creator>BJ Hollowell</dc:creator>
  <cp:lastModifiedBy>Joseph Thibault</cp:lastModifiedBy>
  <dcterms:created xsi:type="dcterms:W3CDTF">2024-11-11T16:57:18Z</dcterms:created>
  <dcterms:modified xsi:type="dcterms:W3CDTF">2026-05-07T22:18:39Z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MediaServiceImageTags">
    <vt:lpwstr/>
  </property>
</Properties>
</file>